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10" activeTab="1"/>
  </bookViews>
  <sheets>
    <sheet name="Data Input" sheetId="1" r:id="rId1"/>
    <sheet name="compatible mounts" sheetId="2" r:id="rId2"/>
  </sheets>
  <definedNames>
    <definedName name="_xlnm.Print_Area" localSheetId="1">'compatible mounts'!$A$1:$M$39</definedName>
    <definedName name="_xlnm.Print_Area" localSheetId="0">'Data Input'!$A$1:$G$97</definedName>
  </definedNames>
  <calcPr fullCalcOnLoad="1"/>
</workbook>
</file>

<file path=xl/sharedStrings.xml><?xml version="1.0" encoding="utf-8"?>
<sst xmlns="http://schemas.openxmlformats.org/spreadsheetml/2006/main" count="152" uniqueCount="100">
  <si>
    <t>Width</t>
  </si>
  <si>
    <t>Height</t>
  </si>
  <si>
    <t>Center to Center</t>
  </si>
  <si>
    <t>Center to Edge</t>
  </si>
  <si>
    <t>Note: All calculations assume 3/4” in between panels.</t>
  </si>
  <si>
    <t>Ground/Roof Mounts</t>
  </si>
  <si>
    <t>Rail Length</t>
  </si>
  <si>
    <t># of Panels Supported</t>
  </si>
  <si>
    <t>Extra Rail</t>
  </si>
  <si>
    <t>May Have To Trim</t>
  </si>
  <si>
    <t>Low Profile</t>
  </si>
  <si>
    <t>Rec. Usable</t>
  </si>
  <si>
    <t>Under Wind</t>
  </si>
  <si>
    <t>Max Sqft</t>
  </si>
  <si>
    <t>Model Rating</t>
  </si>
  <si>
    <t>No</t>
  </si>
  <si>
    <t>Yes</t>
  </si>
  <si>
    <t>Top of Pole Mounts</t>
  </si>
  <si>
    <t>Cross Rail Length</t>
  </si>
  <si>
    <t># of Tiers</t>
  </si>
  <si>
    <t>Panel Incompatible (Crash)</t>
  </si>
  <si>
    <t>Two Tier</t>
  </si>
  <si>
    <t>Side of Pole Mounts</t>
  </si>
  <si>
    <t>Bucket Range (Low)</t>
  </si>
  <si>
    <t>Bucket Range (High)</t>
  </si>
  <si>
    <t>Panel Incompatible (Bucket)</t>
  </si>
  <si>
    <t>Length</t>
  </si>
  <si>
    <t>Model</t>
  </si>
  <si>
    <t>(IN)</t>
  </si>
  <si>
    <t>Ground/Roof</t>
  </si>
  <si>
    <t>S</t>
  </si>
  <si>
    <t>G</t>
  </si>
  <si>
    <t>I</t>
  </si>
  <si>
    <t>R</t>
  </si>
  <si>
    <t>D</t>
  </si>
  <si>
    <t>O</t>
  </si>
  <si>
    <t>E</t>
  </si>
  <si>
    <t>U</t>
  </si>
  <si>
    <t>N</t>
  </si>
  <si>
    <t>UNI-SP/03***</t>
  </si>
  <si>
    <t>T</t>
  </si>
  <si>
    <t>UNI-TP/02</t>
  </si>
  <si>
    <t>P</t>
  </si>
  <si>
    <t>UNI-TP/02A</t>
  </si>
  <si>
    <t>UNI-TP/03</t>
  </si>
  <si>
    <t>UNI-TP/04</t>
  </si>
  <si>
    <t>UNI-TP/04A</t>
  </si>
  <si>
    <t>UNI-TP/06LL</t>
  </si>
  <si>
    <t>Dimensions</t>
  </si>
  <si>
    <t>UNI-TP/08</t>
  </si>
  <si>
    <t>inches</t>
  </si>
  <si>
    <t>UNI-TP/08LL</t>
  </si>
  <si>
    <t>UNI-TP/10LL</t>
  </si>
  <si>
    <t xml:space="preserve"> We try and maintain this document's accuracy to the best of our abilities, however, some panel spacing problems can arise on rare occasions. Please call 800-819-7236 if you experience any trouble with mount sizing.</t>
  </si>
  <si>
    <t>Driving Cell Color (Fill this data in and the rest of the spreadsheet will populate)</t>
  </si>
  <si>
    <t>Panel Name\model</t>
  </si>
  <si>
    <t>Panel surfaceSq Ft:</t>
  </si>
  <si>
    <t>Tamarack Solar</t>
  </si>
  <si>
    <t>Mount Sizing Calculator</t>
  </si>
  <si>
    <t xml:space="preserve">Instructions: </t>
  </si>
  <si>
    <t>Under Wind rating</t>
  </si>
  <si>
    <t>C-to-C</t>
  </si>
  <si>
    <t>C-to-Edge</t>
  </si>
  <si>
    <t>UNI-SP/03</t>
  </si>
  <si>
    <t>UNI-SP/02X</t>
  </si>
  <si>
    <t>UNI-SP/02A</t>
  </si>
  <si>
    <t>UNI-SP/02</t>
  </si>
  <si>
    <t>UNI-SP/01XX</t>
  </si>
  <si>
    <t>UNI-SP/01A</t>
  </si>
  <si>
    <t>UNI-GR/70CV (prev 03)</t>
  </si>
  <si>
    <t>UNI-GR/90CV (prev 04)</t>
  </si>
  <si>
    <t>UNI-GR/110CV (prev 04A)</t>
  </si>
  <si>
    <t>UNI-GR/115CV (prev 05)</t>
  </si>
  <si>
    <t>UNI-SP/03W</t>
  </si>
  <si>
    <t>Top of Pole – Single Tier- 4” sch-40 pipe (4.5Ø)</t>
  </si>
  <si>
    <t>Top of Pole – Double Tier- 6” sch-40 pipe (6.62Ø)</t>
  </si>
  <si>
    <t>Side of Pole- , 2 3/8” Ø to 4.5” Ø Steel Pipe</t>
  </si>
  <si>
    <t>Number of modules per mount</t>
  </si>
  <si>
    <t>Support Rail Length</t>
  </si>
  <si>
    <t>waste/unused support rail</t>
  </si>
  <si>
    <t>90 mph*</t>
  </si>
  <si>
    <t>90 mph</t>
  </si>
  <si>
    <t>MODULE NAME</t>
  </si>
  <si>
    <t>ENTER USING EITHER MM Or INCHES</t>
  </si>
  <si>
    <t>INCHES (equation based on MM)</t>
  </si>
  <si>
    <t xml:space="preserve">You can use either portrait or landscape dimensions based on the illustrations below to find what works best for the number of solar modules you will be using. Keep in mind that the dimensions change when going from portrait to landscape. When all four of the dimensional fields are completed, click the second tab "compatible mounts" at the bottom of the sheet to see the results. </t>
  </si>
  <si>
    <t>Suggestions:</t>
  </si>
  <si>
    <t>-Type in the MODULE NAME and keep a copy of the compatible mounts for future use</t>
  </si>
  <si>
    <t>Bucket Min: 18.9", Max: 28.7"</t>
  </si>
  <si>
    <r>
      <t>UNI-SP/01XH</t>
    </r>
    <r>
      <rPr>
        <sz val="10"/>
        <color indexed="8"/>
        <rFont val="Lucida Sans Unicode"/>
        <family val="2"/>
      </rPr>
      <t xml:space="preserve">                           </t>
    </r>
  </si>
  <si>
    <t>Bucket Min: 29.2", Max: 39.0"</t>
  </si>
  <si>
    <t>Bucket Min: 29.2", Max: 39.0" (WLR 110mph)</t>
  </si>
  <si>
    <t>Original Module Sq Foot</t>
  </si>
  <si>
    <t>Mounts 3 60/72 modules in Landscape</t>
  </si>
  <si>
    <t>UNI-GR/125CV</t>
  </si>
  <si>
    <t>MILLIMETER w/C2C</t>
  </si>
  <si>
    <t>FOR LARGER 60 AND 72 CELL MODULES, PLEASE UTILIZE THE 6072 SERIES MOUNTS- CALL FOR MORE INFORMATION</t>
  </si>
  <si>
    <t xml:space="preserve">-The top of pole mounts (TP) will handle more modules than the side of pole mounts. </t>
  </si>
  <si>
    <t>For larger 60 and 72 cell modules, use the 6072 series mounts. This sheet will not give results for those modules</t>
  </si>
  <si>
    <t>CENTER TO EDGE WILL AUTO POPULATE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</si>
</sst>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70">
    <font>
      <sz val="10"/>
      <name val="Arial"/>
      <family val="0"/>
    </font>
    <font>
      <sz val="11"/>
      <color indexed="8"/>
      <name val="Calibri"/>
      <family val="2"/>
    </font>
    <font>
      <b/>
      <sz val="10"/>
      <color indexed="8"/>
      <name val="Arial"/>
      <family val="2"/>
    </font>
    <font>
      <sz val="10"/>
      <color indexed="8"/>
      <name val="Arial"/>
      <family val="2"/>
    </font>
    <font>
      <sz val="8"/>
      <name val="Arial"/>
      <family val="2"/>
    </font>
    <font>
      <sz val="11"/>
      <color indexed="8"/>
      <name val="Arial"/>
      <family val="2"/>
    </font>
    <font>
      <b/>
      <sz val="11"/>
      <color indexed="8"/>
      <name val="arial,sans-serif"/>
      <family val="0"/>
    </font>
    <font>
      <sz val="11"/>
      <name val="Arial"/>
      <family val="2"/>
    </font>
    <font>
      <b/>
      <sz val="11"/>
      <color indexed="8"/>
      <name val="Lucida Sans Unicode"/>
      <family val="2"/>
    </font>
    <font>
      <sz val="11"/>
      <color indexed="8"/>
      <name val="arial,sans-serif"/>
      <family val="0"/>
    </font>
    <font>
      <sz val="11"/>
      <color indexed="8"/>
      <name val="Lucida Sans Unicode"/>
      <family val="2"/>
    </font>
    <font>
      <b/>
      <sz val="11"/>
      <color indexed="53"/>
      <name val="Lucida Sans Unicode"/>
      <family val="2"/>
    </font>
    <font>
      <b/>
      <sz val="11"/>
      <color indexed="8"/>
      <name val="Arial"/>
      <family val="2"/>
    </font>
    <font>
      <b/>
      <sz val="11"/>
      <name val="Arial"/>
      <family val="2"/>
    </font>
    <font>
      <b/>
      <sz val="10"/>
      <name val="Arial"/>
      <family val="2"/>
    </font>
    <font>
      <u val="single"/>
      <sz val="10"/>
      <color indexed="12"/>
      <name val="Arial"/>
      <family val="2"/>
    </font>
    <font>
      <b/>
      <sz val="10"/>
      <color indexed="40"/>
      <name val="arial,sans-serif"/>
      <family val="0"/>
    </font>
    <font>
      <b/>
      <sz val="11"/>
      <color indexed="40"/>
      <name val="Lucida Sans Unicode"/>
      <family val="2"/>
    </font>
    <font>
      <sz val="11"/>
      <name val="Lucida Sans Unicode"/>
      <family val="2"/>
    </font>
    <font>
      <sz val="9"/>
      <color indexed="8"/>
      <name val="Arial"/>
      <family val="2"/>
    </font>
    <font>
      <b/>
      <sz val="8"/>
      <color indexed="8"/>
      <name val="Arial"/>
      <family val="2"/>
    </font>
    <font>
      <sz val="10"/>
      <color indexed="12"/>
      <name val="Arial"/>
      <family val="2"/>
    </font>
    <font>
      <sz val="11"/>
      <name val="arial,sans-serif"/>
      <family val="0"/>
    </font>
    <font>
      <sz val="11"/>
      <color indexed="9"/>
      <name val="Lucida Sans Unicode"/>
      <family val="2"/>
    </font>
    <font>
      <b/>
      <sz val="11"/>
      <color indexed="9"/>
      <name val="Lucida Sans Unicode"/>
      <family val="2"/>
    </font>
    <font>
      <sz val="10"/>
      <color indexed="8"/>
      <name val="Lucida Sans Unicode"/>
      <family val="2"/>
    </font>
    <font>
      <sz val="16"/>
      <name val="Arial"/>
      <family val="2"/>
    </font>
    <font>
      <sz val="9"/>
      <color indexed="8"/>
      <name val="arial,sans-serif"/>
      <family val="0"/>
    </font>
    <font>
      <sz val="10"/>
      <color indexed="9"/>
      <name val="Arial"/>
      <family val="2"/>
    </font>
    <font>
      <b/>
      <sz val="9"/>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Lucida Sans Unicode"/>
      <family val="2"/>
    </font>
    <font>
      <b/>
      <sz val="11"/>
      <color rgb="FF00B0F0"/>
      <name val="Lucida Sans Unicode"/>
      <family val="2"/>
    </font>
    <font>
      <b/>
      <sz val="10"/>
      <color rgb="FF00B0F0"/>
      <name val="arial,sans-serif"/>
      <family val="0"/>
    </font>
    <font>
      <sz val="11"/>
      <color theme="0"/>
      <name val="Lucida Sans Unicode"/>
      <family val="2"/>
    </font>
    <font>
      <b/>
      <sz val="11"/>
      <color theme="0"/>
      <name val="Lucida Sans Unicode"/>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9"/>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bottom/>
    </border>
    <border>
      <left style="thin">
        <color indexed="8"/>
      </left>
      <right style="thin">
        <color indexed="8"/>
      </right>
      <top/>
      <bottom style="thin"/>
    </border>
    <border>
      <left style="thin"/>
      <right style="thin"/>
      <top style="thin"/>
      <bottom style="thin"/>
    </border>
    <border>
      <left/>
      <right style="thin"/>
      <top/>
      <bottom/>
    </border>
    <border>
      <left style="thin">
        <color indexed="8"/>
      </left>
      <right/>
      <top/>
      <bottom style="thin">
        <color indexed="8"/>
      </bottom>
    </border>
    <border>
      <left style="thin">
        <color indexed="8"/>
      </left>
      <right/>
      <top style="thin">
        <color indexed="8"/>
      </top>
      <bottom/>
    </border>
    <border>
      <left style="thin"/>
      <right style="thin">
        <color indexed="8"/>
      </right>
      <top style="thin"/>
      <bottom/>
    </border>
    <border>
      <left style="thin">
        <color indexed="8"/>
      </left>
      <right/>
      <top/>
      <bottom/>
    </border>
    <border>
      <left style="thin"/>
      <right/>
      <top style="thin"/>
      <bottom style="thin"/>
    </border>
    <border>
      <left style="thin"/>
      <right style="thin">
        <color indexed="8"/>
      </right>
      <top style="thin"/>
      <bottom style="thin"/>
    </border>
    <border>
      <left style="thin">
        <color indexed="8"/>
      </left>
      <right/>
      <top style="thin"/>
      <bottom style="thin"/>
    </border>
    <border>
      <left/>
      <right style="thin"/>
      <top style="thin"/>
      <bottom style="thin"/>
    </border>
    <border>
      <left/>
      <right style="thin">
        <color indexed="8"/>
      </right>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right/>
      <top/>
      <bottom style="thin">
        <color indexed="8"/>
      </bottom>
    </border>
    <border>
      <left/>
      <right style="thin"/>
      <top/>
      <bottom style="thin">
        <color indexed="8"/>
      </bottom>
    </border>
    <border>
      <left style="thin"/>
      <right style="thin"/>
      <top/>
      <bottom style="thin"/>
    </border>
    <border>
      <left style="thin"/>
      <right style="thin"/>
      <top style="thin"/>
      <bottom/>
    </border>
    <border>
      <left style="thin"/>
      <right/>
      <top style="thin">
        <color indexed="8"/>
      </top>
      <bottom style="thin">
        <color indexed="8"/>
      </bottom>
    </border>
    <border>
      <left/>
      <right style="thin"/>
      <top style="thin">
        <color indexed="8"/>
      </top>
      <bottom style="thin">
        <color indexed="8"/>
      </bottom>
    </border>
    <border>
      <left/>
      <right/>
      <top style="thin"/>
      <bottom style="thin"/>
    </border>
  </borders>
  <cellStyleXfs count="62">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4">
    <xf numFmtId="0" fontId="0" fillId="0" borderId="0" xfId="0" applyNumberFormat="1" applyFont="1" applyFill="1" applyBorder="1" applyAlignment="1">
      <alignment/>
    </xf>
    <xf numFmtId="0" fontId="8" fillId="0" borderId="10" xfId="0" applyNumberFormat="1" applyFont="1" applyFill="1" applyBorder="1" applyAlignment="1">
      <alignment horizontal="center"/>
    </xf>
    <xf numFmtId="0" fontId="8" fillId="0" borderId="11" xfId="0" applyNumberFormat="1" applyFont="1" applyFill="1" applyBorder="1" applyAlignment="1">
      <alignment horizontal="center"/>
    </xf>
    <xf numFmtId="0" fontId="8" fillId="0" borderId="12" xfId="0" applyNumberFormat="1" applyFont="1" applyFill="1" applyBorder="1" applyAlignment="1">
      <alignment horizontal="center"/>
    </xf>
    <xf numFmtId="0" fontId="3" fillId="0" borderId="0"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7" fillId="0" borderId="0" xfId="0" applyNumberFormat="1" applyFont="1" applyFill="1" applyBorder="1" applyAlignment="1">
      <alignment horizontal="center"/>
    </xf>
    <xf numFmtId="0" fontId="5" fillId="0" borderId="13" xfId="0" applyNumberFormat="1" applyFont="1" applyFill="1" applyBorder="1" applyAlignment="1">
      <alignment horizontal="center" wrapText="1"/>
    </xf>
    <xf numFmtId="0" fontId="5" fillId="0" borderId="14" xfId="0" applyNumberFormat="1" applyFont="1" applyFill="1" applyBorder="1" applyAlignment="1">
      <alignment horizontal="center" wrapText="1"/>
    </xf>
    <xf numFmtId="0" fontId="5" fillId="0" borderId="11" xfId="0" applyNumberFormat="1" applyFont="1" applyFill="1" applyBorder="1" applyAlignment="1">
      <alignment horizontal="center" wrapText="1"/>
    </xf>
    <xf numFmtId="0" fontId="5"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wrapText="1"/>
    </xf>
    <xf numFmtId="49" fontId="64" fillId="0" borderId="12" xfId="0" applyNumberFormat="1" applyFont="1" applyFill="1" applyBorder="1" applyAlignment="1">
      <alignment horizontal="center" wrapText="1"/>
    </xf>
    <xf numFmtId="0" fontId="64" fillId="0" borderId="12" xfId="0" applyNumberFormat="1" applyFont="1" applyFill="1" applyBorder="1" applyAlignment="1">
      <alignment horizontal="center" wrapText="1"/>
    </xf>
    <xf numFmtId="0" fontId="12" fillId="0" borderId="13"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0" fontId="12"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6" fillId="0" borderId="14" xfId="0" applyNumberFormat="1" applyFont="1" applyFill="1" applyBorder="1" applyAlignment="1">
      <alignment horizontal="center" vertical="center"/>
    </xf>
    <xf numFmtId="0" fontId="10" fillId="33" borderId="15" xfId="0" applyNumberFormat="1" applyFont="1" applyFill="1" applyBorder="1" applyAlignment="1">
      <alignment horizontal="left" vertical="center"/>
    </xf>
    <xf numFmtId="2" fontId="10" fillId="33" borderId="15"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64" fillId="33" borderId="15"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0" fillId="0" borderId="15" xfId="0" applyNumberFormat="1" applyFont="1" applyFill="1" applyBorder="1" applyAlignment="1">
      <alignment horizontal="left" vertical="center"/>
    </xf>
    <xf numFmtId="2" fontId="10" fillId="0" borderId="15"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64" fillId="0" borderId="15"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14" fillId="0" borderId="0" xfId="0" applyNumberFormat="1" applyFont="1" applyFill="1" applyBorder="1" applyAlignment="1">
      <alignment horizontal="center"/>
    </xf>
    <xf numFmtId="0" fontId="2" fillId="0" borderId="0" xfId="0" applyNumberFormat="1" applyFont="1" applyFill="1" applyBorder="1" applyAlignment="1">
      <alignment/>
    </xf>
    <xf numFmtId="0" fontId="0" fillId="0" borderId="0" xfId="0" applyNumberFormat="1" applyFont="1" applyFill="1" applyBorder="1" applyAlignment="1">
      <alignment horizontal="left" indent="1"/>
    </xf>
    <xf numFmtId="0" fontId="5" fillId="0" borderId="0" xfId="0" applyNumberFormat="1" applyFont="1" applyFill="1" applyBorder="1" applyAlignment="1">
      <alignment horizontal="center" wrapText="1"/>
    </xf>
    <xf numFmtId="0" fontId="56" fillId="0" borderId="0" xfId="52" applyNumberFormat="1" applyFill="1" applyBorder="1" applyAlignment="1">
      <alignment horizontal="center" wrapText="1"/>
    </xf>
    <xf numFmtId="0" fontId="65" fillId="0" borderId="0" xfId="0" applyFont="1" applyBorder="1" applyAlignment="1">
      <alignment horizontal="center"/>
    </xf>
    <xf numFmtId="0" fontId="64" fillId="33" borderId="16" xfId="0" applyNumberFormat="1" applyFont="1" applyFill="1" applyBorder="1" applyAlignment="1">
      <alignment horizontal="center" vertical="center"/>
    </xf>
    <xf numFmtId="0" fontId="64" fillId="0" borderId="16" xfId="0" applyNumberFormat="1" applyFont="1" applyFill="1" applyBorder="1" applyAlignment="1">
      <alignment horizontal="center" vertical="center"/>
    </xf>
    <xf numFmtId="0" fontId="64" fillId="34" borderId="16" xfId="0" applyNumberFormat="1" applyFont="1" applyFill="1" applyBorder="1" applyAlignment="1">
      <alignment horizontal="center" vertical="center"/>
    </xf>
    <xf numFmtId="0" fontId="6" fillId="0" borderId="17" xfId="0" applyNumberFormat="1" applyFont="1" applyFill="1" applyBorder="1" applyAlignment="1">
      <alignment horizontal="center"/>
    </xf>
    <xf numFmtId="0" fontId="5" fillId="0" borderId="17" xfId="0" applyNumberFormat="1" applyFont="1" applyFill="1" applyBorder="1" applyAlignment="1">
      <alignment horizontal="center" wrapText="1"/>
    </xf>
    <xf numFmtId="0" fontId="5" fillId="0" borderId="18" xfId="0" applyNumberFormat="1" applyFont="1" applyFill="1" applyBorder="1" applyAlignment="1">
      <alignment horizontal="center" wrapText="1"/>
    </xf>
    <xf numFmtId="0" fontId="66" fillId="0" borderId="18" xfId="0" applyNumberFormat="1" applyFont="1" applyFill="1" applyBorder="1" applyAlignment="1">
      <alignment horizontal="center" wrapText="1"/>
    </xf>
    <xf numFmtId="0" fontId="6" fillId="0" borderId="17" xfId="0" applyNumberFormat="1" applyFont="1" applyFill="1" applyBorder="1" applyAlignment="1">
      <alignment horizontal="center" vertical="center"/>
    </xf>
    <xf numFmtId="0" fontId="18" fillId="33" borderId="15" xfId="0" applyNumberFormat="1" applyFont="1" applyFill="1" applyBorder="1" applyAlignment="1">
      <alignment horizontal="center" vertical="center"/>
    </xf>
    <xf numFmtId="0" fontId="18" fillId="33" borderId="19"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2" fontId="18" fillId="0" borderId="19" xfId="0" applyNumberFormat="1" applyFont="1" applyBorder="1" applyAlignment="1">
      <alignment horizontal="center" vertical="center"/>
    </xf>
    <xf numFmtId="0" fontId="9" fillId="0" borderId="12"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165" fontId="10" fillId="33" borderId="15" xfId="0" applyNumberFormat="1" applyFont="1" applyFill="1" applyBorder="1" applyAlignment="1">
      <alignment horizontal="center" vertical="center"/>
    </xf>
    <xf numFmtId="165" fontId="10" fillId="0" borderId="15"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19" fillId="0" borderId="0" xfId="0" applyNumberFormat="1" applyFont="1" applyFill="1" applyBorder="1" applyAlignment="1">
      <alignment vertical="center"/>
    </xf>
    <xf numFmtId="0" fontId="20" fillId="0" borderId="0" xfId="0" applyNumberFormat="1" applyFont="1" applyFill="1" applyBorder="1" applyAlignment="1">
      <alignmen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right"/>
    </xf>
    <xf numFmtId="164" fontId="3" fillId="0" borderId="0" xfId="0" applyNumberFormat="1" applyFont="1" applyFill="1" applyBorder="1" applyAlignment="1">
      <alignment horizontal="left"/>
    </xf>
    <xf numFmtId="0" fontId="21" fillId="0" borderId="0" xfId="0" applyNumberFormat="1" applyFont="1" applyFill="1" applyBorder="1" applyAlignment="1">
      <alignment horizontal="center" wrapText="1"/>
    </xf>
    <xf numFmtId="0" fontId="3" fillId="0" borderId="0" xfId="0" applyNumberFormat="1" applyFont="1" applyFill="1" applyBorder="1" applyAlignment="1">
      <alignment horizontal="center"/>
    </xf>
    <xf numFmtId="0" fontId="3" fillId="35" borderId="0" xfId="0" applyNumberFormat="1" applyFont="1" applyFill="1" applyBorder="1" applyAlignment="1">
      <alignment horizontal="center"/>
    </xf>
    <xf numFmtId="0" fontId="56" fillId="0" borderId="0" xfId="52" applyNumberFormat="1" applyFont="1" applyFill="1" applyBorder="1" applyAlignment="1">
      <alignment horizontal="center" wrapText="1"/>
    </xf>
    <xf numFmtId="2" fontId="22" fillId="0" borderId="21" xfId="0" applyNumberFormat="1" applyFont="1" applyFill="1" applyBorder="1" applyAlignment="1">
      <alignment horizontal="center" vertical="center"/>
    </xf>
    <xf numFmtId="2" fontId="22" fillId="0" borderId="16" xfId="0" applyNumberFormat="1" applyFont="1" applyFill="1" applyBorder="1" applyAlignment="1">
      <alignment horizontal="center" vertical="center"/>
    </xf>
    <xf numFmtId="2" fontId="22" fillId="0" borderId="22" xfId="0" applyNumberFormat="1" applyFont="1" applyFill="1" applyBorder="1" applyAlignment="1">
      <alignment horizontal="center" vertical="center"/>
    </xf>
    <xf numFmtId="0" fontId="7" fillId="0" borderId="0" xfId="0" applyNumberFormat="1" applyFont="1" applyFill="1" applyBorder="1" applyAlignment="1">
      <alignment horizontal="left"/>
    </xf>
    <xf numFmtId="0" fontId="18" fillId="33" borderId="15"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8" fillId="0" borderId="0" xfId="0" applyFont="1" applyBorder="1" applyAlignment="1">
      <alignment horizontal="left"/>
    </xf>
    <xf numFmtId="2" fontId="18" fillId="0" borderId="23" xfId="0" applyNumberFormat="1" applyFont="1" applyFill="1" applyBorder="1" applyAlignment="1">
      <alignment horizontal="left" vertical="center"/>
    </xf>
    <xf numFmtId="2" fontId="18" fillId="0" borderId="19" xfId="0" applyNumberFormat="1" applyFont="1" applyFill="1" applyBorder="1" applyAlignment="1">
      <alignment horizontal="left" vertical="center"/>
    </xf>
    <xf numFmtId="2" fontId="8" fillId="0" borderId="19" xfId="0" applyNumberFormat="1" applyFont="1" applyFill="1" applyBorder="1" applyAlignment="1">
      <alignment horizontal="left" vertical="center"/>
    </xf>
    <xf numFmtId="2" fontId="64" fillId="0" borderId="19" xfId="0" applyNumberFormat="1" applyFont="1" applyFill="1" applyBorder="1" applyAlignment="1">
      <alignment horizontal="left" vertical="center"/>
    </xf>
    <xf numFmtId="165" fontId="10" fillId="36" borderId="15" xfId="0" applyNumberFormat="1" applyFont="1" applyFill="1" applyBorder="1" applyAlignment="1">
      <alignment horizontal="center" vertical="center"/>
    </xf>
    <xf numFmtId="0" fontId="10" fillId="36" borderId="15" xfId="0" applyNumberFormat="1" applyFont="1" applyFill="1" applyBorder="1" applyAlignment="1">
      <alignment horizontal="left" vertical="center"/>
    </xf>
    <xf numFmtId="0" fontId="64" fillId="36" borderId="16" xfId="0" applyNumberFormat="1" applyFont="1" applyFill="1" applyBorder="1" applyAlignment="1">
      <alignment horizontal="center" vertical="center"/>
    </xf>
    <xf numFmtId="0" fontId="18" fillId="36" borderId="19" xfId="0" applyNumberFormat="1" applyFont="1" applyFill="1" applyBorder="1" applyAlignment="1">
      <alignment horizontal="center" vertical="center"/>
    </xf>
    <xf numFmtId="0" fontId="18" fillId="0" borderId="15" xfId="0"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0" fontId="9" fillId="0" borderId="2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xf>
    <xf numFmtId="2"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64"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0" fontId="18" fillId="0" borderId="10" xfId="0" applyNumberFormat="1" applyFont="1" applyFill="1" applyBorder="1" applyAlignment="1">
      <alignment horizontal="left" vertical="center"/>
    </xf>
    <xf numFmtId="0" fontId="7" fillId="0" borderId="19" xfId="0" applyNumberFormat="1" applyFont="1" applyFill="1" applyBorder="1" applyAlignment="1">
      <alignment horizontal="center" vertical="center"/>
    </xf>
    <xf numFmtId="0" fontId="10" fillId="0" borderId="15"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wrapText="1"/>
    </xf>
    <xf numFmtId="0" fontId="26" fillId="0" borderId="0" xfId="0" applyNumberFormat="1" applyFont="1" applyFill="1" applyBorder="1" applyAlignment="1">
      <alignment horizontal="left"/>
    </xf>
    <xf numFmtId="0" fontId="0" fillId="0" borderId="0" xfId="0" applyNumberFormat="1" applyFont="1" applyFill="1" applyBorder="1" applyAlignment="1" quotePrefix="1">
      <alignment horizontal="left"/>
    </xf>
    <xf numFmtId="0" fontId="14" fillId="0" borderId="0" xfId="0" applyNumberFormat="1" applyFont="1" applyFill="1" applyBorder="1" applyAlignment="1">
      <alignment horizontal="left"/>
    </xf>
    <xf numFmtId="0" fontId="10" fillId="33" borderId="15" xfId="0" applyNumberFormat="1" applyFont="1" applyFill="1" applyBorder="1" applyAlignment="1">
      <alignment horizontal="left" vertical="center" wrapText="1"/>
    </xf>
    <xf numFmtId="0" fontId="25" fillId="33" borderId="15" xfId="0" applyNumberFormat="1" applyFont="1" applyFill="1" applyBorder="1" applyAlignment="1">
      <alignment horizontal="left" vertical="center" wrapText="1"/>
    </xf>
    <xf numFmtId="0" fontId="10" fillId="37" borderId="15" xfId="0" applyNumberFormat="1" applyFont="1" applyFill="1" applyBorder="1" applyAlignment="1">
      <alignment horizontal="left" vertical="center"/>
    </xf>
    <xf numFmtId="0" fontId="10" fillId="36" borderId="10" xfId="0" applyNumberFormat="1" applyFont="1" applyFill="1" applyBorder="1" applyAlignment="1">
      <alignment horizontal="left" vertical="center"/>
    </xf>
    <xf numFmtId="0" fontId="5" fillId="0" borderId="0" xfId="0" applyNumberFormat="1" applyFont="1" applyFill="1" applyBorder="1" applyAlignment="1">
      <alignment horizontal="center" wrapText="1"/>
    </xf>
    <xf numFmtId="0" fontId="9"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xf>
    <xf numFmtId="0" fontId="27" fillId="0" borderId="0" xfId="0" applyNumberFormat="1" applyFont="1" applyFill="1" applyBorder="1" applyAlignment="1">
      <alignment horizontal="center" vertical="center" wrapText="1"/>
    </xf>
    <xf numFmtId="2" fontId="18" fillId="0" borderId="25" xfId="0" applyNumberFormat="1" applyFont="1" applyFill="1" applyBorder="1" applyAlignment="1">
      <alignment horizontal="left" vertical="center"/>
    </xf>
    <xf numFmtId="0" fontId="9" fillId="0" borderId="10"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2" fontId="22" fillId="0" borderId="27"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18" fillId="33" borderId="29" xfId="0" applyNumberFormat="1" applyFont="1" applyFill="1" applyBorder="1" applyAlignment="1">
      <alignment horizontal="left" vertical="center"/>
    </xf>
    <xf numFmtId="0" fontId="67" fillId="0" borderId="30" xfId="0" applyNumberFormat="1" applyFont="1" applyFill="1" applyBorder="1" applyAlignment="1">
      <alignment horizontal="left" vertical="center"/>
    </xf>
    <xf numFmtId="0" fontId="12"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xf>
    <xf numFmtId="0" fontId="64" fillId="0" borderId="0"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0" fontId="67" fillId="0" borderId="0" xfId="0" applyNumberFormat="1" applyFont="1" applyFill="1" applyBorder="1" applyAlignment="1">
      <alignment horizontal="left" vertical="center"/>
    </xf>
    <xf numFmtId="2" fontId="67" fillId="0" borderId="0" xfId="0" applyNumberFormat="1" applyFont="1" applyFill="1" applyBorder="1" applyAlignment="1">
      <alignment horizontal="center" vertical="center"/>
    </xf>
    <xf numFmtId="0" fontId="67" fillId="0" borderId="0" xfId="0" applyNumberFormat="1" applyFont="1" applyFill="1" applyBorder="1" applyAlignment="1">
      <alignment horizontal="center" vertical="center"/>
    </xf>
    <xf numFmtId="0" fontId="68" fillId="0" borderId="0" xfId="0" applyNumberFormat="1" applyFont="1" applyFill="1" applyBorder="1" applyAlignment="1">
      <alignment horizontal="center" vertical="center"/>
    </xf>
    <xf numFmtId="0" fontId="69" fillId="0" borderId="0" xfId="0" applyNumberFormat="1" applyFont="1" applyFill="1" applyBorder="1" applyAlignment="1">
      <alignment horizontal="center" wrapText="1"/>
    </xf>
    <xf numFmtId="0" fontId="3" fillId="38" borderId="0" xfId="0" applyNumberFormat="1" applyFont="1" applyFill="1" applyBorder="1" applyAlignment="1">
      <alignment horizontal="center"/>
    </xf>
    <xf numFmtId="0" fontId="29" fillId="0" borderId="0" xfId="0" applyNumberFormat="1" applyFont="1" applyFill="1" applyBorder="1" applyAlignment="1">
      <alignment vertical="center"/>
    </xf>
    <xf numFmtId="2" fontId="2" fillId="38" borderId="0" xfId="0" applyNumberFormat="1" applyFont="1" applyFill="1" applyBorder="1" applyAlignment="1">
      <alignment horizontal="center"/>
    </xf>
    <xf numFmtId="0" fontId="14" fillId="38" borderId="0" xfId="0" applyNumberFormat="1" applyFont="1" applyFill="1" applyBorder="1" applyAlignment="1">
      <alignment horizontal="center"/>
    </xf>
    <xf numFmtId="0" fontId="0" fillId="0" borderId="0" xfId="0" applyNumberFormat="1" applyFont="1" applyFill="1" applyBorder="1" applyAlignment="1">
      <alignment horizontal="left" wrapText="1"/>
    </xf>
    <xf numFmtId="0" fontId="0" fillId="0" borderId="0" xfId="0" applyNumberFormat="1" applyFont="1" applyFill="1" applyBorder="1" applyAlignment="1" quotePrefix="1">
      <alignment horizontal="left" wrapText="1"/>
    </xf>
    <xf numFmtId="0" fontId="14" fillId="39"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5" fillId="0" borderId="0" xfId="0" applyNumberFormat="1" applyFont="1" applyFill="1" applyBorder="1" applyAlignment="1">
      <alignment horizontal="center" wrapText="1"/>
    </xf>
    <xf numFmtId="0" fontId="8" fillId="0" borderId="31" xfId="0" applyFont="1" applyBorder="1" applyAlignment="1">
      <alignment horizontal="center"/>
    </xf>
    <xf numFmtId="0" fontId="10" fillId="0" borderId="0" xfId="0" applyFont="1" applyBorder="1" applyAlignment="1">
      <alignment horizontal="center" vertical="center"/>
    </xf>
    <xf numFmtId="2" fontId="8" fillId="0" borderId="32"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8" fillId="0" borderId="33" xfId="0" applyNumberFormat="1" applyFont="1" applyBorder="1" applyAlignment="1">
      <alignment horizontal="center" vertical="center"/>
    </xf>
    <xf numFmtId="0" fontId="6" fillId="0" borderId="10" xfId="0" applyNumberFormat="1" applyFont="1" applyFill="1" applyBorder="1" applyAlignment="1">
      <alignment horizontal="center" wrapText="1"/>
    </xf>
    <xf numFmtId="0" fontId="6" fillId="0" borderId="11" xfId="0" applyNumberFormat="1" applyFont="1" applyFill="1" applyBorder="1" applyAlignment="1">
      <alignment horizontal="center" wrapText="1"/>
    </xf>
    <xf numFmtId="0" fontId="8" fillId="0" borderId="10" xfId="0" applyNumberFormat="1" applyFont="1" applyFill="1" applyBorder="1" applyAlignment="1">
      <alignment horizontal="center" wrapText="1"/>
    </xf>
    <xf numFmtId="0" fontId="8" fillId="0" borderId="11" xfId="0" applyNumberFormat="1" applyFont="1" applyFill="1" applyBorder="1" applyAlignment="1">
      <alignment horizontal="center" wrapText="1"/>
    </xf>
    <xf numFmtId="49" fontId="18" fillId="0" borderId="17" xfId="0" applyNumberFormat="1" applyFont="1" applyFill="1" applyBorder="1" applyAlignment="1">
      <alignment horizontal="center" wrapText="1"/>
    </xf>
    <xf numFmtId="49" fontId="18" fillId="0" borderId="11" xfId="0" applyNumberFormat="1" applyFont="1" applyFill="1" applyBorder="1" applyAlignment="1">
      <alignment horizontal="center" wrapText="1"/>
    </xf>
    <xf numFmtId="49" fontId="18" fillId="0" borderId="18" xfId="0" applyNumberFormat="1" applyFont="1" applyFill="1" applyBorder="1" applyAlignment="1">
      <alignment horizontal="center" wrapText="1"/>
    </xf>
    <xf numFmtId="0" fontId="6" fillId="0" borderId="14" xfId="0" applyNumberFormat="1" applyFont="1" applyFill="1" applyBorder="1" applyAlignment="1">
      <alignment horizontal="center" vertical="center"/>
    </xf>
    <xf numFmtId="49" fontId="64" fillId="0" borderId="19" xfId="0" applyNumberFormat="1" applyFont="1" applyFill="1" applyBorder="1" applyAlignment="1">
      <alignment horizontal="center" wrapText="1"/>
    </xf>
    <xf numFmtId="0" fontId="9" fillId="0" borderId="34"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27" fillId="0" borderId="24"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2" fontId="8" fillId="0" borderId="36" xfId="0" applyNumberFormat="1" applyFont="1" applyBorder="1" applyAlignment="1">
      <alignment horizontal="center" vertical="center"/>
    </xf>
    <xf numFmtId="2" fontId="8" fillId="0" borderId="31" xfId="0" applyNumberFormat="1" applyFont="1" applyBorder="1" applyAlignment="1">
      <alignment horizontal="center" vertical="center"/>
    </xf>
    <xf numFmtId="2" fontId="8" fillId="0" borderId="37" xfId="0" applyNumberFormat="1" applyFont="1" applyBorder="1" applyAlignment="1">
      <alignment horizontal="center" vertical="center"/>
    </xf>
    <xf numFmtId="0" fontId="7" fillId="36" borderId="25" xfId="0" applyNumberFormat="1" applyFont="1" applyFill="1" applyBorder="1" applyAlignment="1">
      <alignment horizontal="center" vertical="center"/>
    </xf>
    <xf numFmtId="0" fontId="7" fillId="36" borderId="38" xfId="0" applyNumberFormat="1" applyFont="1" applyFill="1" applyBorder="1" applyAlignment="1">
      <alignment horizontal="center" vertical="center"/>
    </xf>
    <xf numFmtId="0" fontId="7" fillId="36" borderId="28" xfId="0" applyNumberFormat="1" applyFont="1" applyFill="1" applyBorder="1" applyAlignment="1">
      <alignment horizontal="center" vertical="center"/>
    </xf>
    <xf numFmtId="0" fontId="0" fillId="39" borderId="24" xfId="0" applyNumberFormat="1" applyFont="1" applyFill="1" applyBorder="1" applyAlignment="1">
      <alignment horizontal="center" vertical="center" wrapText="1"/>
    </xf>
    <xf numFmtId="0" fontId="0" fillId="39" borderId="0" xfId="0" applyNumberFormat="1" applyFont="1" applyFill="1" applyBorder="1" applyAlignment="1">
      <alignment horizontal="center" vertical="center" wrapText="1"/>
    </xf>
    <xf numFmtId="0" fontId="0" fillId="39" borderId="20"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8080"/>
      <rgbColor rgb="00CCCCFF"/>
      <rgbColor rgb="000000FF"/>
      <rgbColor rgb="00FFFF99"/>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73</xdr:row>
      <xdr:rowOff>28575</xdr:rowOff>
    </xdr:from>
    <xdr:to>
      <xdr:col>5</xdr:col>
      <xdr:colOff>866775</xdr:colOff>
      <xdr:row>96</xdr:row>
      <xdr:rowOff>142875</xdr:rowOff>
    </xdr:to>
    <xdr:pic>
      <xdr:nvPicPr>
        <xdr:cNvPr id="1" name="Picture 2"/>
        <xdr:cNvPicPr preferRelativeResize="1">
          <a:picLocks noChangeAspect="1"/>
        </xdr:cNvPicPr>
      </xdr:nvPicPr>
      <xdr:blipFill>
        <a:blip r:embed="rId1"/>
        <a:stretch>
          <a:fillRect/>
        </a:stretch>
      </xdr:blipFill>
      <xdr:spPr>
        <a:xfrm>
          <a:off x="6515100" y="3952875"/>
          <a:ext cx="2552700" cy="3838575"/>
        </a:xfrm>
        <a:prstGeom prst="rect">
          <a:avLst/>
        </a:prstGeom>
        <a:noFill/>
        <a:ln w="9525" cmpd="sng">
          <a:noFill/>
        </a:ln>
      </xdr:spPr>
    </xdr:pic>
    <xdr:clientData/>
  </xdr:twoCellAnchor>
  <xdr:twoCellAnchor editAs="oneCell">
    <xdr:from>
      <xdr:col>0</xdr:col>
      <xdr:colOff>0</xdr:colOff>
      <xdr:row>0</xdr:row>
      <xdr:rowOff>0</xdr:rowOff>
    </xdr:from>
    <xdr:to>
      <xdr:col>0</xdr:col>
      <xdr:colOff>2105025</xdr:colOff>
      <xdr:row>5</xdr:row>
      <xdr:rowOff>66675</xdr:rowOff>
    </xdr:to>
    <xdr:pic>
      <xdr:nvPicPr>
        <xdr:cNvPr id="2" name="Picture 1"/>
        <xdr:cNvPicPr preferRelativeResize="1">
          <a:picLocks noChangeAspect="1"/>
        </xdr:cNvPicPr>
      </xdr:nvPicPr>
      <xdr:blipFill>
        <a:blip r:embed="rId2"/>
        <a:stretch>
          <a:fillRect/>
        </a:stretch>
      </xdr:blipFill>
      <xdr:spPr>
        <a:xfrm>
          <a:off x="0" y="0"/>
          <a:ext cx="2105025" cy="971550"/>
        </a:xfrm>
        <a:prstGeom prst="rect">
          <a:avLst/>
        </a:prstGeom>
        <a:noFill/>
        <a:ln w="9525" cmpd="sng">
          <a:noFill/>
        </a:ln>
      </xdr:spPr>
    </xdr:pic>
    <xdr:clientData/>
  </xdr:twoCellAnchor>
  <xdr:twoCellAnchor editAs="oneCell">
    <xdr:from>
      <xdr:col>0</xdr:col>
      <xdr:colOff>295275</xdr:colOff>
      <xdr:row>73</xdr:row>
      <xdr:rowOff>133350</xdr:rowOff>
    </xdr:from>
    <xdr:to>
      <xdr:col>2</xdr:col>
      <xdr:colOff>1114425</xdr:colOff>
      <xdr:row>93</xdr:row>
      <xdr:rowOff>104775</xdr:rowOff>
    </xdr:to>
    <xdr:pic>
      <xdr:nvPicPr>
        <xdr:cNvPr id="3" name="Picture 6"/>
        <xdr:cNvPicPr preferRelativeResize="1">
          <a:picLocks noChangeAspect="1"/>
        </xdr:cNvPicPr>
      </xdr:nvPicPr>
      <xdr:blipFill>
        <a:blip r:embed="rId3"/>
        <a:stretch>
          <a:fillRect/>
        </a:stretch>
      </xdr:blipFill>
      <xdr:spPr>
        <a:xfrm>
          <a:off x="295275" y="4057650"/>
          <a:ext cx="4914900" cy="3209925"/>
        </a:xfrm>
        <a:prstGeom prst="rect">
          <a:avLst/>
        </a:prstGeom>
        <a:noFill/>
        <a:ln w="9525" cmpd="sng">
          <a:noFill/>
        </a:ln>
      </xdr:spPr>
    </xdr:pic>
    <xdr:clientData/>
  </xdr:twoCellAnchor>
  <xdr:twoCellAnchor>
    <xdr:from>
      <xdr:col>1</xdr:col>
      <xdr:colOff>742950</xdr:colOff>
      <xdr:row>77</xdr:row>
      <xdr:rowOff>161925</xdr:rowOff>
    </xdr:from>
    <xdr:to>
      <xdr:col>2</xdr:col>
      <xdr:colOff>828675</xdr:colOff>
      <xdr:row>79</xdr:row>
      <xdr:rowOff>142875</xdr:rowOff>
    </xdr:to>
    <xdr:sp>
      <xdr:nvSpPr>
        <xdr:cNvPr id="4" name="TextBox 3"/>
        <xdr:cNvSpPr txBox="1">
          <a:spLocks noChangeArrowheads="1"/>
        </xdr:cNvSpPr>
      </xdr:nvSpPr>
      <xdr:spPr>
        <a:xfrm>
          <a:off x="3286125" y="4733925"/>
          <a:ext cx="16383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10000"/>
              </a:solidFill>
            </a:rPr>
            <a:t>SIZING IN LANDSCAPE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6"/>
  <sheetViews>
    <sheetView zoomScale="85" zoomScaleNormal="85" zoomScaleSheetLayoutView="70" zoomScalePageLayoutView="0" workbookViewId="0" topLeftCell="A7">
      <selection activeCell="E18" sqref="E18"/>
    </sheetView>
  </sheetViews>
  <sheetFormatPr defaultColWidth="9.140625" defaultRowHeight="12.75"/>
  <cols>
    <col min="1" max="1" width="38.140625" style="60" customWidth="1"/>
    <col min="2" max="2" width="23.28125" style="60" customWidth="1"/>
    <col min="3" max="3" width="18.57421875" style="60" customWidth="1"/>
    <col min="4" max="4" width="15.8515625" style="60" customWidth="1"/>
    <col min="5" max="5" width="27.140625" style="60" bestFit="1" customWidth="1"/>
    <col min="6" max="6" width="21.421875" style="60" bestFit="1" customWidth="1"/>
    <col min="7" max="7" width="19.28125" style="60" customWidth="1"/>
    <col min="8" max="9" width="11.7109375" style="60" bestFit="1" customWidth="1"/>
    <col min="10" max="16384" width="33.57421875" style="60" customWidth="1"/>
  </cols>
  <sheetData>
    <row r="1" spans="2:3" s="59" customFormat="1" ht="20.25">
      <c r="B1" s="99" t="s">
        <v>57</v>
      </c>
      <c r="C1" s="99" t="s">
        <v>58</v>
      </c>
    </row>
    <row r="2" ht="12.75"/>
    <row r="3" ht="12.75">
      <c r="C3" s="101" t="s">
        <v>59</v>
      </c>
    </row>
    <row r="4" spans="3:6" ht="12.75" customHeight="1">
      <c r="C4" s="130" t="s">
        <v>85</v>
      </c>
      <c r="D4" s="130"/>
      <c r="E4" s="130"/>
      <c r="F4" s="130"/>
    </row>
    <row r="5" spans="3:6" ht="12.75" customHeight="1">
      <c r="C5" s="130"/>
      <c r="D5" s="130"/>
      <c r="E5" s="130"/>
      <c r="F5" s="130"/>
    </row>
    <row r="6" spans="3:6" ht="12.75">
      <c r="C6" s="130"/>
      <c r="D6" s="130"/>
      <c r="E6" s="130"/>
      <c r="F6" s="130"/>
    </row>
    <row r="7" spans="3:6" ht="14.25" customHeight="1">
      <c r="C7" s="130"/>
      <c r="D7" s="130"/>
      <c r="E7" s="130"/>
      <c r="F7" s="130"/>
    </row>
    <row r="8" ht="19.5" customHeight="1">
      <c r="C8" s="101" t="s">
        <v>86</v>
      </c>
    </row>
    <row r="9" spans="3:7" ht="12.75">
      <c r="C9" s="131" t="s">
        <v>97</v>
      </c>
      <c r="D9" s="131"/>
      <c r="E9" s="131"/>
      <c r="F9" s="131"/>
      <c r="G9" s="131"/>
    </row>
    <row r="10" spans="3:6" ht="12.75">
      <c r="C10" s="100" t="s">
        <v>87</v>
      </c>
      <c r="D10" s="59"/>
      <c r="E10" s="59"/>
      <c r="F10" s="59"/>
    </row>
    <row r="11" spans="3:6" ht="12.75">
      <c r="C11" s="131" t="s">
        <v>98</v>
      </c>
      <c r="D11" s="131"/>
      <c r="E11" s="131"/>
      <c r="F11" s="131"/>
    </row>
    <row r="12" spans="3:6" ht="12.75">
      <c r="C12" s="131"/>
      <c r="D12" s="131"/>
      <c r="E12" s="131"/>
      <c r="F12" s="131"/>
    </row>
    <row r="13" ht="12.75">
      <c r="C13" s="37"/>
    </row>
    <row r="14" spans="3:5" ht="12.75">
      <c r="C14" s="126"/>
      <c r="D14" s="127" t="s">
        <v>54</v>
      </c>
      <c r="E14" s="61"/>
    </row>
    <row r="15" spans="3:5" ht="12.75">
      <c r="C15" s="4"/>
      <c r="D15" s="62" t="s">
        <v>4</v>
      </c>
      <c r="E15" s="36"/>
    </row>
    <row r="16" spans="1:12" ht="12.75">
      <c r="A16" s="35" t="s">
        <v>83</v>
      </c>
      <c r="B16" s="63" t="s">
        <v>0</v>
      </c>
      <c r="C16" s="63" t="s">
        <v>26</v>
      </c>
      <c r="D16" s="63" t="s">
        <v>2</v>
      </c>
      <c r="E16" s="63" t="s">
        <v>3</v>
      </c>
      <c r="G16" s="63"/>
      <c r="H16" s="4"/>
      <c r="I16" s="4"/>
      <c r="J16" s="4"/>
      <c r="K16" s="4"/>
      <c r="L16" s="4"/>
    </row>
    <row r="17" spans="1:12" ht="12.75">
      <c r="A17" s="132" t="s">
        <v>99</v>
      </c>
      <c r="B17" s="132"/>
      <c r="C17" s="132"/>
      <c r="D17" s="132"/>
      <c r="E17" s="132"/>
      <c r="G17" s="63"/>
      <c r="H17" s="4"/>
      <c r="I17" s="4"/>
      <c r="J17" s="4"/>
      <c r="K17" s="4"/>
      <c r="L17" s="4"/>
    </row>
    <row r="18" spans="1:12" ht="12.75">
      <c r="A18" s="4" t="s">
        <v>95</v>
      </c>
      <c r="B18" s="128">
        <v>1500</v>
      </c>
      <c r="C18" s="128">
        <v>675</v>
      </c>
      <c r="D18" s="128">
        <v>625</v>
      </c>
      <c r="E18" s="108">
        <f>(C18-D18)/2</f>
        <v>25</v>
      </c>
      <c r="G18" s="63"/>
      <c r="H18" s="4"/>
      <c r="I18" s="4"/>
      <c r="J18" s="4"/>
      <c r="K18" s="4"/>
      <c r="L18" s="4"/>
    </row>
    <row r="19" spans="1:12" ht="12.75">
      <c r="A19" s="60" t="s">
        <v>84</v>
      </c>
      <c r="B19" s="128">
        <f>B18/25.4</f>
        <v>59.05511811023622</v>
      </c>
      <c r="C19" s="128">
        <f>C18/25.4</f>
        <v>26.5748031496063</v>
      </c>
      <c r="D19" s="128">
        <f>D18/25.4</f>
        <v>24.606299212598426</v>
      </c>
      <c r="E19" s="108">
        <f>(C19-D19)/2</f>
        <v>0.984251968503937</v>
      </c>
      <c r="G19" s="63"/>
      <c r="H19" s="4"/>
      <c r="I19" s="4"/>
      <c r="J19" s="4"/>
      <c r="K19" s="4"/>
      <c r="L19" s="4"/>
    </row>
    <row r="20" spans="2:12" ht="12.75">
      <c r="B20" s="108"/>
      <c r="C20" s="108"/>
      <c r="D20" s="108"/>
      <c r="E20" s="108"/>
      <c r="G20" s="63"/>
      <c r="H20" s="4"/>
      <c r="I20" s="4"/>
      <c r="J20" s="4"/>
      <c r="K20" s="4"/>
      <c r="L20" s="4"/>
    </row>
    <row r="21" spans="1:12" ht="25.5">
      <c r="A21" s="5" t="s">
        <v>55</v>
      </c>
      <c r="D21" s="4"/>
      <c r="E21" s="4"/>
      <c r="F21" s="4"/>
      <c r="G21" s="125" t="s">
        <v>92</v>
      </c>
      <c r="H21" s="4"/>
      <c r="I21" s="4"/>
      <c r="J21" s="4"/>
      <c r="K21" s="4"/>
      <c r="L21" s="4"/>
    </row>
    <row r="22" spans="1:12" ht="12.75">
      <c r="A22" s="129" t="s">
        <v>82</v>
      </c>
      <c r="B22" s="64" t="s">
        <v>56</v>
      </c>
      <c r="C22" s="65">
        <f>(B19/12)*(C19/12)</f>
        <v>10.898459296918594</v>
      </c>
      <c r="D22" s="4"/>
      <c r="E22" s="4"/>
      <c r="G22" s="125">
        <f>(21.1/12)*(47.4/12)</f>
        <v>6.945416666666667</v>
      </c>
      <c r="H22" s="4"/>
      <c r="I22" s="4"/>
      <c r="J22" s="4"/>
      <c r="K22" s="4"/>
      <c r="L22" s="4"/>
    </row>
    <row r="23" spans="1:12" ht="12.75" hidden="1">
      <c r="A23" s="63" t="s">
        <v>5</v>
      </c>
      <c r="B23" s="63" t="s">
        <v>6</v>
      </c>
      <c r="C23" s="63" t="s">
        <v>7</v>
      </c>
      <c r="D23" s="63" t="s">
        <v>8</v>
      </c>
      <c r="E23" s="63" t="s">
        <v>9</v>
      </c>
      <c r="F23" s="63" t="s">
        <v>10</v>
      </c>
      <c r="G23" s="63" t="s">
        <v>11</v>
      </c>
      <c r="H23" s="63" t="s">
        <v>12</v>
      </c>
      <c r="I23" s="63" t="s">
        <v>13</v>
      </c>
      <c r="J23" s="63" t="s">
        <v>14</v>
      </c>
      <c r="K23" s="4"/>
      <c r="L23" s="4"/>
    </row>
    <row r="24" spans="1:12" ht="12.75" hidden="1">
      <c r="A24" s="66" t="str">
        <f>HYPERLINK("http://www.2seas.com/prodFind.php?name=UNI-GR/01&amp;prodType=Mount","UNI-GR/01")</f>
        <v>UNI-GR/01</v>
      </c>
      <c r="B24" s="67">
        <v>25</v>
      </c>
      <c r="C24" s="68">
        <f aca="true" t="shared" si="0" ref="C24:C31">INT((B24/($B$19+0.75)))</f>
        <v>0</v>
      </c>
      <c r="D24" s="67">
        <f aca="true" t="shared" si="1" ref="D24:D31">B24-(C24*($B$19+0.75))</f>
        <v>25</v>
      </c>
      <c r="E24" s="67" t="str">
        <f aca="true" t="shared" si="2" ref="E24:E31">IF((G24="Yes"),IF((D24&gt;10),"Yes","No"),"N/A")</f>
        <v>N/A</v>
      </c>
      <c r="F24" s="67" t="s">
        <v>15</v>
      </c>
      <c r="G24" s="68">
        <f aca="true" t="shared" si="3" ref="G24:G31">IF(AND(IF((C24&gt;0),TRUE,FALSE),IF((C24&lt;&gt;C23),TRUE,FALSE)),"Yes","")</f>
      </c>
      <c r="H24" s="67">
        <f aca="true" t="shared" si="4" ref="H24:H31">IF((G24&lt;&gt;""),IF((($C$22*C24)&gt;I24),"No","Yes"),"")</f>
      </c>
      <c r="I24" s="67">
        <f>$G$22*J24</f>
        <v>6.945416666666667</v>
      </c>
      <c r="J24" s="67">
        <v>1</v>
      </c>
      <c r="K24" s="4"/>
      <c r="L24" s="4"/>
    </row>
    <row r="25" spans="1:12" ht="12.75" hidden="1">
      <c r="A25" s="66" t="str">
        <f>HYPERLINK("http://www.2seas.com/prodFind.php?name=UNI-GR/01A&amp;prodType=Mount","UNI-GR/01A")</f>
        <v>UNI-GR/01A</v>
      </c>
      <c r="B25" s="67">
        <v>27</v>
      </c>
      <c r="C25" s="68">
        <f t="shared" si="0"/>
        <v>0</v>
      </c>
      <c r="D25" s="67">
        <f t="shared" si="1"/>
        <v>27</v>
      </c>
      <c r="E25" s="67" t="str">
        <f t="shared" si="2"/>
        <v>N/A</v>
      </c>
      <c r="F25" s="67" t="s">
        <v>15</v>
      </c>
      <c r="G25" s="68">
        <f t="shared" si="3"/>
      </c>
      <c r="H25" s="67">
        <f t="shared" si="4"/>
      </c>
      <c r="I25" s="67">
        <f aca="true" t="shared" si="5" ref="I25:I31">$G$22*J25</f>
        <v>6.945416666666667</v>
      </c>
      <c r="J25" s="67">
        <v>1</v>
      </c>
      <c r="K25" s="4"/>
      <c r="L25" s="4"/>
    </row>
    <row r="26" spans="1:12" ht="12.75" hidden="1">
      <c r="A26" s="66" t="str">
        <f>HYPERLINK("http://www.2seas.com/prodFind.php?name=UNI-GR/02&amp;prodType=Mount","UNI-GR/02")</f>
        <v>UNI-GR/02</v>
      </c>
      <c r="B26" s="67">
        <v>45</v>
      </c>
      <c r="C26" s="68">
        <f t="shared" si="0"/>
        <v>0</v>
      </c>
      <c r="D26" s="67">
        <f t="shared" si="1"/>
        <v>45</v>
      </c>
      <c r="E26" s="67" t="str">
        <f t="shared" si="2"/>
        <v>N/A</v>
      </c>
      <c r="F26" s="67" t="s">
        <v>15</v>
      </c>
      <c r="G26" s="68">
        <f t="shared" si="3"/>
      </c>
      <c r="H26" s="67">
        <f t="shared" si="4"/>
      </c>
      <c r="I26" s="67">
        <f t="shared" si="5"/>
        <v>13.890833333333333</v>
      </c>
      <c r="J26" s="67">
        <v>2</v>
      </c>
      <c r="K26" s="4"/>
      <c r="L26" s="4"/>
    </row>
    <row r="27" spans="1:12" ht="12.75" hidden="1">
      <c r="A27" s="66" t="str">
        <f>HYPERLINK("http://www.2seas.com/prodFind.php?name=UNI-GR/02A&amp;prodType=Mount","UNI-GR/02A")</f>
        <v>UNI-GR/02A</v>
      </c>
      <c r="B27" s="67">
        <v>55</v>
      </c>
      <c r="C27" s="68">
        <f t="shared" si="0"/>
        <v>0</v>
      </c>
      <c r="D27" s="67">
        <f t="shared" si="1"/>
        <v>55</v>
      </c>
      <c r="E27" s="67" t="str">
        <f t="shared" si="2"/>
        <v>N/A</v>
      </c>
      <c r="F27" s="67" t="s">
        <v>15</v>
      </c>
      <c r="G27" s="68">
        <f t="shared" si="3"/>
      </c>
      <c r="H27" s="67">
        <f t="shared" si="4"/>
      </c>
      <c r="I27" s="67">
        <f t="shared" si="5"/>
        <v>13.890833333333333</v>
      </c>
      <c r="J27" s="67">
        <v>2</v>
      </c>
      <c r="K27" s="4"/>
      <c r="L27" s="4"/>
    </row>
    <row r="28" spans="1:12" ht="12.75" hidden="1">
      <c r="A28" s="66" t="str">
        <f>HYPERLINK("http://www.2seas.com/prodFind.php?name=UNI-GR/03&amp;prodType=Mount","UNI-GR/03")</f>
        <v>UNI-GR/03</v>
      </c>
      <c r="B28" s="67">
        <v>70</v>
      </c>
      <c r="C28" s="68">
        <f t="shared" si="0"/>
        <v>1</v>
      </c>
      <c r="D28" s="67">
        <f t="shared" si="1"/>
        <v>10.194881889763778</v>
      </c>
      <c r="E28" s="67" t="str">
        <f t="shared" si="2"/>
        <v>Yes</v>
      </c>
      <c r="F28" s="67" t="s">
        <v>15</v>
      </c>
      <c r="G28" s="68" t="str">
        <f t="shared" si="3"/>
        <v>Yes</v>
      </c>
      <c r="H28" s="67" t="str">
        <f t="shared" si="4"/>
        <v>Yes</v>
      </c>
      <c r="I28" s="67">
        <f t="shared" si="5"/>
        <v>20.83625</v>
      </c>
      <c r="J28" s="67">
        <v>3</v>
      </c>
      <c r="K28" s="4"/>
      <c r="L28" s="4"/>
    </row>
    <row r="29" spans="1:12" ht="12.75" hidden="1">
      <c r="A29" s="66" t="str">
        <f>HYPERLINK("http://www.2seas.com/prodFind.php?name=UNI-GR/04&amp;prodType=Mount","UNI-GR/04")</f>
        <v>UNI-GR/04</v>
      </c>
      <c r="B29" s="67">
        <v>90</v>
      </c>
      <c r="C29" s="68">
        <f t="shared" si="0"/>
        <v>1</v>
      </c>
      <c r="D29" s="67">
        <f t="shared" si="1"/>
        <v>30.194881889763778</v>
      </c>
      <c r="E29" s="67" t="str">
        <f t="shared" si="2"/>
        <v>N/A</v>
      </c>
      <c r="F29" s="67" t="s">
        <v>15</v>
      </c>
      <c r="G29" s="68">
        <f t="shared" si="3"/>
      </c>
      <c r="H29" s="67">
        <f t="shared" si="4"/>
      </c>
      <c r="I29" s="67">
        <f t="shared" si="5"/>
        <v>27.781666666666666</v>
      </c>
      <c r="J29" s="67">
        <v>4</v>
      </c>
      <c r="K29" s="4"/>
      <c r="L29" s="4"/>
    </row>
    <row r="30" spans="1:12" ht="12.75" hidden="1">
      <c r="A30" s="66" t="str">
        <f>HYPERLINK("http://www.2seas.com/prodFind.php?name=UNI-GR/04A&amp;prodType=Mount","UNI-GR/04A")</f>
        <v>UNI-GR/04A</v>
      </c>
      <c r="B30" s="67">
        <v>110</v>
      </c>
      <c r="C30" s="68">
        <f t="shared" si="0"/>
        <v>1</v>
      </c>
      <c r="D30" s="67">
        <f t="shared" si="1"/>
        <v>50.19488188976378</v>
      </c>
      <c r="E30" s="67" t="str">
        <f t="shared" si="2"/>
        <v>N/A</v>
      </c>
      <c r="F30" s="67" t="s">
        <v>15</v>
      </c>
      <c r="G30" s="68">
        <f t="shared" si="3"/>
      </c>
      <c r="H30" s="67">
        <f t="shared" si="4"/>
      </c>
      <c r="I30" s="67">
        <f t="shared" si="5"/>
        <v>27.781666666666666</v>
      </c>
      <c r="J30" s="67">
        <v>4</v>
      </c>
      <c r="K30" s="4"/>
      <c r="L30" s="4"/>
    </row>
    <row r="31" spans="1:12" ht="12.75" hidden="1">
      <c r="A31" s="66" t="str">
        <f>HYPERLINK("http://www.2seas.com/prodFind.php?name=UNI-GR/05&amp;prodType=Mount","UNI-GR/05")</f>
        <v>UNI-GR/05</v>
      </c>
      <c r="B31" s="67">
        <v>115</v>
      </c>
      <c r="C31" s="68">
        <f t="shared" si="0"/>
        <v>1</v>
      </c>
      <c r="D31" s="67">
        <f t="shared" si="1"/>
        <v>55.19488188976378</v>
      </c>
      <c r="E31" s="67" t="str">
        <f t="shared" si="2"/>
        <v>N/A</v>
      </c>
      <c r="F31" s="67" t="s">
        <v>15</v>
      </c>
      <c r="G31" s="68">
        <f t="shared" si="3"/>
      </c>
      <c r="H31" s="67">
        <f t="shared" si="4"/>
      </c>
      <c r="I31" s="67">
        <f t="shared" si="5"/>
        <v>34.72708333333333</v>
      </c>
      <c r="J31" s="67">
        <v>5</v>
      </c>
      <c r="K31" s="4"/>
      <c r="L31" s="4"/>
    </row>
    <row r="32" spans="1:12" ht="12.75" hidden="1">
      <c r="A32" s="4"/>
      <c r="B32" s="4"/>
      <c r="C32" s="4"/>
      <c r="D32" s="4"/>
      <c r="E32" s="4"/>
      <c r="F32" s="4"/>
      <c r="G32" s="4"/>
      <c r="H32" s="67">
        <f>IF((G32&lt;&gt;""),IF((($C$22*C32)&gt;I31),"No","Yes"),"")</f>
      </c>
      <c r="I32" s="4"/>
      <c r="J32" s="4"/>
      <c r="K32" s="4"/>
      <c r="L32" s="4"/>
    </row>
    <row r="33" spans="1:12" ht="12.75" hidden="1">
      <c r="A33" s="4"/>
      <c r="B33" s="4"/>
      <c r="C33" s="4"/>
      <c r="D33" s="4"/>
      <c r="E33" s="4"/>
      <c r="F33" s="4"/>
      <c r="G33" s="4"/>
      <c r="H33" s="67">
        <f>IF((G33&lt;&gt;""),IF((($C$22*C33)&gt;I32),"No","Yes"),"")</f>
      </c>
      <c r="I33" s="4"/>
      <c r="J33" s="4"/>
      <c r="K33" s="4"/>
      <c r="L33" s="4"/>
    </row>
    <row r="34" spans="1:12" ht="12.75" hidden="1">
      <c r="A34" s="66" t="str">
        <f>HYPERLINK("http://www.2seas.com/prodFind.php?name=UNI-GR/04H&amp;prodType=Mount","UNI-GR/04H")</f>
        <v>UNI-GR/04H</v>
      </c>
      <c r="B34" s="67">
        <v>90</v>
      </c>
      <c r="C34" s="68">
        <f aca="true" t="shared" si="6" ref="C34:C41">INT((B34/($B$19+0.75)))</f>
        <v>1</v>
      </c>
      <c r="D34" s="67">
        <f aca="true" t="shared" si="7" ref="D34:D41">B34-(C34*($B$19+0.75))</f>
        <v>30.194881889763778</v>
      </c>
      <c r="E34" s="67" t="str">
        <f aca="true" t="shared" si="8" ref="E34:E41">IF((G34="Yes"),IF((D34&gt;10),"Yes","No"),"N/A")</f>
        <v>Yes</v>
      </c>
      <c r="F34" s="67" t="s">
        <v>16</v>
      </c>
      <c r="G34" s="68" t="str">
        <f aca="true" t="shared" si="9" ref="G34:G41">IF(AND(IF((C34&gt;0),TRUE,FALSE),IF((C34&lt;&gt;C33),TRUE,FALSE)),"Yes","")</f>
        <v>Yes</v>
      </c>
      <c r="H34" s="67" t="str">
        <f aca="true" t="shared" si="10" ref="H34:H41">IF((G34&lt;&gt;""),IF((($C$22*C34)&gt;I34),"No","Yes"),"")</f>
        <v>Yes</v>
      </c>
      <c r="I34" s="67">
        <f aca="true" t="shared" si="11" ref="I34:I41">$G$22*J34</f>
        <v>27.781666666666666</v>
      </c>
      <c r="J34" s="67">
        <v>4</v>
      </c>
      <c r="K34" s="4"/>
      <c r="L34" s="4"/>
    </row>
    <row r="35" spans="1:12" ht="12.75" hidden="1">
      <c r="A35" s="66" t="str">
        <f>HYPERLINK("http://www.2seas.com/prodFind.php?name=UNI-GR/04AH&amp;prodType=Mount","UNI-GR/04AH")</f>
        <v>UNI-GR/04AH</v>
      </c>
      <c r="B35" s="67">
        <v>110</v>
      </c>
      <c r="C35" s="68">
        <f t="shared" si="6"/>
        <v>1</v>
      </c>
      <c r="D35" s="67">
        <f t="shared" si="7"/>
        <v>50.19488188976378</v>
      </c>
      <c r="E35" s="67" t="str">
        <f t="shared" si="8"/>
        <v>N/A</v>
      </c>
      <c r="F35" s="67" t="s">
        <v>16</v>
      </c>
      <c r="G35" s="68">
        <f t="shared" si="9"/>
      </c>
      <c r="H35" s="67">
        <f t="shared" si="10"/>
      </c>
      <c r="I35" s="67">
        <f t="shared" si="11"/>
        <v>27.781666666666666</v>
      </c>
      <c r="J35" s="67">
        <v>4</v>
      </c>
      <c r="K35" s="4"/>
      <c r="L35" s="4"/>
    </row>
    <row r="36" spans="1:12" ht="12.75" hidden="1">
      <c r="A36" s="66" t="str">
        <f>HYPERLINK("http://www.2seas.com/prodFind.php?name=UNI-GR/06H&amp;prodType=Mount","UNI-GR/06H")</f>
        <v>UNI-GR/06H</v>
      </c>
      <c r="B36" s="67">
        <v>140</v>
      </c>
      <c r="C36" s="68">
        <f t="shared" si="6"/>
        <v>2</v>
      </c>
      <c r="D36" s="67">
        <f t="shared" si="7"/>
        <v>20.389763779527556</v>
      </c>
      <c r="E36" s="67" t="str">
        <f t="shared" si="8"/>
        <v>Yes</v>
      </c>
      <c r="F36" s="67" t="s">
        <v>16</v>
      </c>
      <c r="G36" s="68" t="str">
        <f t="shared" si="9"/>
        <v>Yes</v>
      </c>
      <c r="H36" s="67" t="str">
        <f t="shared" si="10"/>
        <v>Yes</v>
      </c>
      <c r="I36" s="67">
        <f t="shared" si="11"/>
        <v>41.6725</v>
      </c>
      <c r="J36" s="67">
        <v>6</v>
      </c>
      <c r="K36" s="4"/>
      <c r="L36" s="4"/>
    </row>
    <row r="37" spans="1:12" ht="12.75" hidden="1">
      <c r="A37" s="66" t="str">
        <f>HYPERLINK("http://www.2seas.com/prodFind.php?name=UNI-GR/06AH&amp;prodType=Mount","UNI-GR/06AH")</f>
        <v>UNI-GR/06AH</v>
      </c>
      <c r="B37" s="67">
        <v>160</v>
      </c>
      <c r="C37" s="68">
        <f t="shared" si="6"/>
        <v>2</v>
      </c>
      <c r="D37" s="67">
        <f t="shared" si="7"/>
        <v>40.389763779527556</v>
      </c>
      <c r="E37" s="67" t="str">
        <f t="shared" si="8"/>
        <v>N/A</v>
      </c>
      <c r="F37" s="67" t="s">
        <v>16</v>
      </c>
      <c r="G37" s="68">
        <f t="shared" si="9"/>
      </c>
      <c r="H37" s="67">
        <f t="shared" si="10"/>
      </c>
      <c r="I37" s="67">
        <f t="shared" si="11"/>
        <v>41.6725</v>
      </c>
      <c r="J37" s="67">
        <v>6</v>
      </c>
      <c r="K37" s="4"/>
      <c r="L37" s="4"/>
    </row>
    <row r="38" spans="1:12" ht="12.75" hidden="1">
      <c r="A38" s="66" t="str">
        <f>HYPERLINK("http://www.2seas.com/prodFind.php?name=UNI-GR/08H&amp;prodType=Mount","UNI-GR/08H")</f>
        <v>UNI-GR/08H</v>
      </c>
      <c r="B38" s="67">
        <v>180</v>
      </c>
      <c r="C38" s="68">
        <f t="shared" si="6"/>
        <v>3</v>
      </c>
      <c r="D38" s="67">
        <f t="shared" si="7"/>
        <v>0.5846456692913193</v>
      </c>
      <c r="E38" s="67" t="str">
        <f t="shared" si="8"/>
        <v>No</v>
      </c>
      <c r="F38" s="67" t="s">
        <v>16</v>
      </c>
      <c r="G38" s="68" t="str">
        <f t="shared" si="9"/>
        <v>Yes</v>
      </c>
      <c r="H38" s="67" t="str">
        <f t="shared" si="10"/>
        <v>Yes</v>
      </c>
      <c r="I38" s="67">
        <f t="shared" si="11"/>
        <v>55.56333333333333</v>
      </c>
      <c r="J38" s="67">
        <v>8</v>
      </c>
      <c r="K38" s="4"/>
      <c r="L38" s="4"/>
    </row>
    <row r="39" spans="1:12" ht="12.75" hidden="1">
      <c r="A39" s="66" t="str">
        <f>HYPERLINK("http://www.2seas.com/prodFind.php?name=UNI-GR/10H&amp;prodType=Mount","UNI-GR/10H")</f>
        <v>UNI-GR/10H</v>
      </c>
      <c r="B39" s="67">
        <v>225</v>
      </c>
      <c r="C39" s="68">
        <f t="shared" si="6"/>
        <v>3</v>
      </c>
      <c r="D39" s="67">
        <f t="shared" si="7"/>
        <v>45.58464566929132</v>
      </c>
      <c r="E39" s="67" t="str">
        <f t="shared" si="8"/>
        <v>N/A</v>
      </c>
      <c r="F39" s="67" t="s">
        <v>16</v>
      </c>
      <c r="G39" s="68">
        <f t="shared" si="9"/>
      </c>
      <c r="H39" s="67">
        <f t="shared" si="10"/>
      </c>
      <c r="I39" s="67">
        <f t="shared" si="11"/>
        <v>69.45416666666667</v>
      </c>
      <c r="J39" s="67">
        <v>10</v>
      </c>
      <c r="K39" s="4"/>
      <c r="L39" s="4"/>
    </row>
    <row r="40" spans="1:12" ht="12.75" hidden="1">
      <c r="A40" s="66" t="str">
        <f>HYPERLINK("http://www.2seas.com/prodFind.php?name=UNI-GR/12H&amp;prodType=Mount","UNI-GR/12H")</f>
        <v>UNI-GR/12H</v>
      </c>
      <c r="B40" s="67">
        <v>270</v>
      </c>
      <c r="C40" s="68">
        <f t="shared" si="6"/>
        <v>4</v>
      </c>
      <c r="D40" s="67">
        <f t="shared" si="7"/>
        <v>30.77952755905511</v>
      </c>
      <c r="E40" s="67" t="str">
        <f t="shared" si="8"/>
        <v>Yes</v>
      </c>
      <c r="F40" s="67" t="s">
        <v>16</v>
      </c>
      <c r="G40" s="68" t="str">
        <f t="shared" si="9"/>
        <v>Yes</v>
      </c>
      <c r="H40" s="67" t="str">
        <f t="shared" si="10"/>
        <v>Yes</v>
      </c>
      <c r="I40" s="67">
        <f t="shared" si="11"/>
        <v>83.345</v>
      </c>
      <c r="J40" s="67">
        <v>12</v>
      </c>
      <c r="K40" s="4"/>
      <c r="L40" s="4"/>
    </row>
    <row r="41" spans="1:12" ht="12.75" hidden="1">
      <c r="A41" s="66" t="str">
        <f>HYPERLINK("http://www.2seas.com/prodFind.php?name=UNI-GR/14H&amp;prodType=Mount","UNI-GR/14H ")</f>
        <v>UNI-GR/14H </v>
      </c>
      <c r="B41" s="67">
        <v>325</v>
      </c>
      <c r="C41" s="68">
        <f t="shared" si="6"/>
        <v>5</v>
      </c>
      <c r="D41" s="67">
        <f t="shared" si="7"/>
        <v>25.974409448818903</v>
      </c>
      <c r="E41" s="67" t="str">
        <f t="shared" si="8"/>
        <v>Yes</v>
      </c>
      <c r="F41" s="67" t="s">
        <v>16</v>
      </c>
      <c r="G41" s="68" t="str">
        <f t="shared" si="9"/>
        <v>Yes</v>
      </c>
      <c r="H41" s="67" t="str">
        <f t="shared" si="10"/>
        <v>Yes</v>
      </c>
      <c r="I41" s="67">
        <f t="shared" si="11"/>
        <v>97.23583333333333</v>
      </c>
      <c r="J41" s="67">
        <v>14</v>
      </c>
      <c r="K41" s="4"/>
      <c r="L41" s="4"/>
    </row>
    <row r="42" spans="1:12" ht="12.75" hidden="1">
      <c r="A42" s="4"/>
      <c r="B42" s="4"/>
      <c r="C42" s="4"/>
      <c r="D42" s="4"/>
      <c r="E42" s="4"/>
      <c r="F42" s="4"/>
      <c r="G42" s="4"/>
      <c r="H42" s="4"/>
      <c r="I42" s="4"/>
      <c r="J42" s="4"/>
      <c r="K42" s="4"/>
      <c r="L42" s="4"/>
    </row>
    <row r="43" spans="1:12" ht="12.75" hidden="1">
      <c r="A43" s="4"/>
      <c r="B43" s="4"/>
      <c r="C43" s="4"/>
      <c r="D43" s="4"/>
      <c r="E43" s="4"/>
      <c r="F43" s="4"/>
      <c r="G43" s="4"/>
      <c r="H43" s="4"/>
      <c r="I43" s="4"/>
      <c r="J43" s="4"/>
      <c r="K43" s="4"/>
      <c r="L43" s="4"/>
    </row>
    <row r="44" spans="1:12" ht="12.75" hidden="1">
      <c r="A44" s="63" t="s">
        <v>17</v>
      </c>
      <c r="B44" s="63" t="s">
        <v>6</v>
      </c>
      <c r="C44" s="63" t="s">
        <v>18</v>
      </c>
      <c r="D44" s="63" t="s">
        <v>19</v>
      </c>
      <c r="E44" s="63" t="s">
        <v>20</v>
      </c>
      <c r="F44" s="63" t="s">
        <v>7</v>
      </c>
      <c r="G44" s="63" t="s">
        <v>8</v>
      </c>
      <c r="H44" s="63" t="s">
        <v>11</v>
      </c>
      <c r="I44" s="63" t="s">
        <v>12</v>
      </c>
      <c r="J44" s="63" t="s">
        <v>13</v>
      </c>
      <c r="K44" s="63" t="s">
        <v>14</v>
      </c>
      <c r="L44" s="4"/>
    </row>
    <row r="45" spans="1:12" ht="12.75" hidden="1">
      <c r="A45" s="66" t="str">
        <f>HYPERLINK("http://www.2seas.com/prodFind.php?name=UNI-TP/02&amp;prodType=Mount","UNI-TP/02")</f>
        <v>UNI-TP/02</v>
      </c>
      <c r="B45" s="67">
        <v>45</v>
      </c>
      <c r="C45" s="67">
        <v>38</v>
      </c>
      <c r="D45" s="67">
        <v>1</v>
      </c>
      <c r="E45" s="67" t="str">
        <f>IF($D$19&gt;38.4,"TRUE","FALSE")</f>
        <v>FALSE</v>
      </c>
      <c r="F45" s="68">
        <f>IF(E45,0,(INT((B45/($B$19+0.75)))*D45))</f>
        <v>0</v>
      </c>
      <c r="G45" s="67">
        <f>(B45*D45)-(F45*($B$19+0.75))</f>
        <v>45</v>
      </c>
      <c r="H45" s="68" t="str">
        <f>IF((F45&lt;&gt;F44),IF(E45,"","Yes"),"")</f>
        <v>Yes</v>
      </c>
      <c r="I45" s="67" t="str">
        <f aca="true" t="shared" si="12" ref="I45:I59">IF((H45&lt;&gt;""),IF((($C$22*F45)&gt;J45),"No","Yes"),"")</f>
        <v>Yes</v>
      </c>
      <c r="J45" s="67">
        <f>$G$22*K45</f>
        <v>13.890833333333333</v>
      </c>
      <c r="K45" s="67">
        <v>2</v>
      </c>
      <c r="L45" s="4"/>
    </row>
    <row r="46" spans="1:12" ht="12.75" hidden="1">
      <c r="A46" s="66" t="str">
        <f>HYPERLINK("http://www.2seas.com/prodFind.php?name=UNI-TP/02A&amp;prodType=Mount","UNI-TP/02A")</f>
        <v>UNI-TP/02A</v>
      </c>
      <c r="B46" s="67">
        <v>55</v>
      </c>
      <c r="C46" s="67">
        <v>38</v>
      </c>
      <c r="D46" s="67">
        <v>1</v>
      </c>
      <c r="E46" s="67" t="str">
        <f>IF($D$19&gt;38.4,"TRUE","FALSE")</f>
        <v>FALSE</v>
      </c>
      <c r="F46" s="68">
        <f>IF(E46,0,(INT((B46/($B$19+0.75)))*D46))</f>
        <v>0</v>
      </c>
      <c r="G46" s="67">
        <f>(B46*D46)-(F46*($B$19+0.75))</f>
        <v>55</v>
      </c>
      <c r="H46" s="68">
        <f>IF((F46&lt;&gt;F45),IF(E46,"","Yes"),"")</f>
      </c>
      <c r="I46" s="67">
        <f t="shared" si="12"/>
      </c>
      <c r="J46" s="67">
        <f>$G$22*K46</f>
        <v>13.890833333333333</v>
      </c>
      <c r="K46" s="67">
        <v>2</v>
      </c>
      <c r="L46" s="4"/>
    </row>
    <row r="47" spans="1:12" ht="12.75" hidden="1">
      <c r="A47" s="66" t="str">
        <f>HYPERLINK("http://www.2seas.com/prodFind.php?name=UNI-TP/03&amp;prodType=Mount","UNI-TP/03")</f>
        <v>UNI-TP/03</v>
      </c>
      <c r="B47" s="67">
        <v>70</v>
      </c>
      <c r="C47" s="67">
        <v>38</v>
      </c>
      <c r="D47" s="67">
        <v>1</v>
      </c>
      <c r="E47" s="67" t="str">
        <f>IF($D$19&gt;38.4,"TRUE","FALSE")</f>
        <v>FALSE</v>
      </c>
      <c r="F47" s="68">
        <f>IF(E47,0,(INT((B47/($B$19+0.75)))*D47))</f>
        <v>1</v>
      </c>
      <c r="G47" s="67">
        <f>(B47*D47)-(F47*($B$19+0.75))</f>
        <v>10.194881889763778</v>
      </c>
      <c r="H47" s="68" t="str">
        <f>IF((F47&lt;&gt;F46),IF(E47,"","Yes"),"")</f>
        <v>Yes</v>
      </c>
      <c r="I47" s="67" t="str">
        <f t="shared" si="12"/>
        <v>Yes</v>
      </c>
      <c r="J47" s="67">
        <f>$G$22*K47</f>
        <v>20.83625</v>
      </c>
      <c r="K47" s="67">
        <v>3</v>
      </c>
      <c r="L47" s="4"/>
    </row>
    <row r="48" spans="1:12" ht="12.75" hidden="1">
      <c r="A48" s="66" t="str">
        <f>HYPERLINK("http://www.2seas.com/prodFind.php?name=UNI-TP/04&amp;prodType=Mount","UNI-TP/04")</f>
        <v>UNI-TP/04</v>
      </c>
      <c r="B48" s="67">
        <v>90</v>
      </c>
      <c r="C48" s="67">
        <v>38</v>
      </c>
      <c r="D48" s="67">
        <v>1</v>
      </c>
      <c r="E48" s="67" t="str">
        <f>IF($D$19&gt;38.4,"TRUE","FALSE")</f>
        <v>FALSE</v>
      </c>
      <c r="F48" s="68">
        <f>IF(E48,0,(INT((B48/($B$19+0.75)))*D48))</f>
        <v>1</v>
      </c>
      <c r="G48" s="67">
        <f>(B48*D48)-(F48*($B$19+0.75))</f>
        <v>30.194881889763778</v>
      </c>
      <c r="H48" s="68">
        <f>IF((F48&lt;&gt;F47),IF(E48,"","Yes"),"")</f>
      </c>
      <c r="I48" s="67">
        <f t="shared" si="12"/>
      </c>
      <c r="J48" s="67">
        <f>$G$22*K48</f>
        <v>27.781666666666666</v>
      </c>
      <c r="K48" s="67">
        <v>4</v>
      </c>
      <c r="L48" s="4"/>
    </row>
    <row r="49" spans="1:12" ht="12.75" hidden="1">
      <c r="A49" s="66" t="str">
        <f>HYPERLINK("http://www.2seas.com/prodFind.php?name=UNI-TP/04A&amp;prodType=Mount","UNI-TP/04A")</f>
        <v>UNI-TP/04A</v>
      </c>
      <c r="B49" s="67">
        <v>110</v>
      </c>
      <c r="C49" s="67">
        <v>38</v>
      </c>
      <c r="D49" s="67">
        <v>1</v>
      </c>
      <c r="E49" s="67" t="str">
        <f>IF($D$19&gt;38.4,"TRUE","FALSE")</f>
        <v>FALSE</v>
      </c>
      <c r="F49" s="68">
        <f>IF(E49,0,(INT((B49/($B$19+0.75)))*D49))</f>
        <v>1</v>
      </c>
      <c r="G49" s="67">
        <f>(B49*D49)-(F49*($B$19+0.75))</f>
        <v>50.19488188976378</v>
      </c>
      <c r="H49" s="68">
        <f>IF((F49&lt;&gt;F48),IF(E49,"","Yes"),"")</f>
      </c>
      <c r="I49" s="67">
        <f t="shared" si="12"/>
      </c>
      <c r="J49" s="67">
        <f>$G$22*K49</f>
        <v>27.781666666666666</v>
      </c>
      <c r="K49" s="67">
        <v>4</v>
      </c>
      <c r="L49" s="4"/>
    </row>
    <row r="50" spans="1:12" ht="12.75" hidden="1">
      <c r="A50" s="4"/>
      <c r="B50" s="4"/>
      <c r="C50" s="4"/>
      <c r="D50" s="4"/>
      <c r="E50" s="4"/>
      <c r="F50" s="4"/>
      <c r="G50" s="4"/>
      <c r="H50" s="4"/>
      <c r="I50" s="67">
        <f t="shared" si="12"/>
      </c>
      <c r="J50" s="4"/>
      <c r="K50" s="4"/>
      <c r="L50" s="4"/>
    </row>
    <row r="51" spans="1:12" ht="12.75" hidden="1">
      <c r="A51" s="63" t="s">
        <v>21</v>
      </c>
      <c r="B51" s="4"/>
      <c r="C51" s="4"/>
      <c r="D51" s="4"/>
      <c r="E51" s="4"/>
      <c r="F51" s="4"/>
      <c r="G51" s="4"/>
      <c r="H51" s="4"/>
      <c r="I51" s="67">
        <f t="shared" si="12"/>
      </c>
      <c r="J51" s="4"/>
      <c r="K51" s="4"/>
      <c r="L51" s="4"/>
    </row>
    <row r="52" spans="1:12" ht="12.75" hidden="1">
      <c r="A52" s="66"/>
      <c r="B52" s="67"/>
      <c r="C52" s="67"/>
      <c r="D52" s="67"/>
      <c r="E52" s="67"/>
      <c r="F52" s="68"/>
      <c r="G52" s="67"/>
      <c r="H52" s="68"/>
      <c r="I52" s="67"/>
      <c r="J52" s="67"/>
      <c r="K52" s="67">
        <v>6</v>
      </c>
      <c r="L52" s="4"/>
    </row>
    <row r="53" spans="1:12" ht="12.75" hidden="1">
      <c r="A53" s="66" t="str">
        <f>HYPERLINK("http://www.2seas.com/prodFind.php?name=UNI-TP/06LL&amp;prodType=Mount","UNI-TP/06LL")</f>
        <v>UNI-TP/06LL</v>
      </c>
      <c r="B53" s="67">
        <v>70</v>
      </c>
      <c r="C53" s="67">
        <v>100.7</v>
      </c>
      <c r="D53" s="67">
        <v>2</v>
      </c>
      <c r="E53" s="67" t="b">
        <f aca="true" t="shared" si="13" ref="E53:E59">IF((D53=1),FALSE,IF((($D$19+$E$19)&gt;((C53/2)-0.5)),TRUE,FALSE))</f>
        <v>0</v>
      </c>
      <c r="F53" s="68">
        <f aca="true" t="shared" si="14" ref="F53:F59">IF(E53,0,(INT((B53/($B$19+0.75)))*D53))</f>
        <v>2</v>
      </c>
      <c r="G53" s="67">
        <f aca="true" t="shared" si="15" ref="G53:G59">(B53*D53)-(F53*($B$19+0.75))</f>
        <v>20.389763779527556</v>
      </c>
      <c r="H53" s="68" t="str">
        <f aca="true" t="shared" si="16" ref="H53:H59">IF((F53&lt;&gt;F52),IF((F53&lt;&gt;F51),IF(E53,"","Yes"),""),"")</f>
        <v>Yes</v>
      </c>
      <c r="I53" s="67" t="str">
        <f t="shared" si="12"/>
        <v>Yes</v>
      </c>
      <c r="J53" s="67">
        <f aca="true" t="shared" si="17" ref="J53:J59">$G$22*K53</f>
        <v>41.6725</v>
      </c>
      <c r="K53" s="67">
        <v>6</v>
      </c>
      <c r="L53" s="4"/>
    </row>
    <row r="54" spans="1:12" ht="12.75" hidden="1">
      <c r="A54" s="66" t="str">
        <f>HYPERLINK("http://www.2seas.com/prodFind.php?name=UNI-TP/08&amp;prodType=Mount","UNI-TP/08")</f>
        <v>UNI-TP/08</v>
      </c>
      <c r="B54" s="67">
        <v>90</v>
      </c>
      <c r="C54" s="67">
        <v>75.9</v>
      </c>
      <c r="D54" s="67">
        <v>2</v>
      </c>
      <c r="E54" s="67" t="b">
        <f t="shared" si="13"/>
        <v>0</v>
      </c>
      <c r="F54" s="68">
        <f t="shared" si="14"/>
        <v>2</v>
      </c>
      <c r="G54" s="67">
        <f t="shared" si="15"/>
        <v>60.389763779527556</v>
      </c>
      <c r="H54" s="68">
        <f t="shared" si="16"/>
      </c>
      <c r="I54" s="67">
        <f t="shared" si="12"/>
      </c>
      <c r="J54" s="67">
        <f t="shared" si="17"/>
        <v>55.56333333333333</v>
      </c>
      <c r="K54" s="67">
        <v>8</v>
      </c>
      <c r="L54" s="4"/>
    </row>
    <row r="55" spans="1:12" ht="12.75" hidden="1">
      <c r="A55" s="66" t="str">
        <f>HYPERLINK("http://www.2seas.com/prodFind.php?name=UNI-TP/08LL&amp;prodType=Mount","UNI-TP/08LL")</f>
        <v>UNI-TP/08LL</v>
      </c>
      <c r="B55" s="67">
        <v>90</v>
      </c>
      <c r="C55" s="67">
        <v>100.7</v>
      </c>
      <c r="D55" s="67">
        <v>2</v>
      </c>
      <c r="E55" s="67" t="b">
        <f t="shared" si="13"/>
        <v>0</v>
      </c>
      <c r="F55" s="68">
        <f t="shared" si="14"/>
        <v>2</v>
      </c>
      <c r="G55" s="67">
        <f t="shared" si="15"/>
        <v>60.389763779527556</v>
      </c>
      <c r="H55" s="68">
        <f t="shared" si="16"/>
      </c>
      <c r="I55" s="67">
        <f t="shared" si="12"/>
      </c>
      <c r="J55" s="67">
        <f t="shared" si="17"/>
        <v>55.56333333333333</v>
      </c>
      <c r="K55" s="67">
        <v>8</v>
      </c>
      <c r="L55" s="4"/>
    </row>
    <row r="56" spans="1:12" ht="12.75" hidden="1">
      <c r="A56" s="66" t="str">
        <f>HYPERLINK("http://www.2seas.com/prodFind.php?name=UNI-TP/10&amp;prodType=Mount","UNI-TP/10")</f>
        <v>UNI-TP/10</v>
      </c>
      <c r="B56" s="67">
        <v>115</v>
      </c>
      <c r="C56" s="67">
        <v>75.9</v>
      </c>
      <c r="D56" s="67">
        <v>2</v>
      </c>
      <c r="E56" s="67" t="b">
        <f t="shared" si="13"/>
        <v>0</v>
      </c>
      <c r="F56" s="68">
        <f t="shared" si="14"/>
        <v>2</v>
      </c>
      <c r="G56" s="67">
        <f t="shared" si="15"/>
        <v>110.38976377952756</v>
      </c>
      <c r="H56" s="68">
        <f t="shared" si="16"/>
      </c>
      <c r="I56" s="67">
        <f t="shared" si="12"/>
      </c>
      <c r="J56" s="67">
        <f t="shared" si="17"/>
        <v>69.45416666666667</v>
      </c>
      <c r="K56" s="67">
        <v>10</v>
      </c>
      <c r="L56" s="4"/>
    </row>
    <row r="57" spans="1:12" ht="12.75" hidden="1">
      <c r="A57" s="66" t="str">
        <f>HYPERLINK("http://www.2seas.com/prodFind.php?name=UNI-TP/10LL&amp;prodType=Mount","UNI-TP/10LL")</f>
        <v>UNI-TP/10LL</v>
      </c>
      <c r="B57" s="67">
        <v>125</v>
      </c>
      <c r="C57" s="67">
        <v>100.7</v>
      </c>
      <c r="D57" s="67">
        <v>2</v>
      </c>
      <c r="E57" s="67" t="b">
        <f t="shared" si="13"/>
        <v>0</v>
      </c>
      <c r="F57" s="68">
        <f t="shared" si="14"/>
        <v>4</v>
      </c>
      <c r="G57" s="67">
        <f t="shared" si="15"/>
        <v>10.779527559055111</v>
      </c>
      <c r="H57" s="68" t="str">
        <f t="shared" si="16"/>
        <v>Yes</v>
      </c>
      <c r="I57" s="67" t="str">
        <f t="shared" si="12"/>
        <v>Yes</v>
      </c>
      <c r="J57" s="67">
        <f t="shared" si="17"/>
        <v>69.45416666666667</v>
      </c>
      <c r="K57" s="67">
        <v>10</v>
      </c>
      <c r="L57" s="4"/>
    </row>
    <row r="58" spans="1:12" ht="12.75" hidden="1">
      <c r="A58" s="66" t="str">
        <f>HYPERLINK("http://www.2seas.com/prodFind.php?name=UNI-TP/12&amp;prodType=Mount","UNI-TP/12")</f>
        <v>UNI-TP/12</v>
      </c>
      <c r="B58" s="67">
        <v>140</v>
      </c>
      <c r="C58" s="67">
        <v>75.9</v>
      </c>
      <c r="D58" s="67">
        <v>2</v>
      </c>
      <c r="E58" s="67" t="b">
        <f t="shared" si="13"/>
        <v>0</v>
      </c>
      <c r="F58" s="68">
        <f t="shared" si="14"/>
        <v>4</v>
      </c>
      <c r="G58" s="67">
        <f t="shared" si="15"/>
        <v>40.77952755905511</v>
      </c>
      <c r="H58" s="68">
        <f t="shared" si="16"/>
      </c>
      <c r="I58" s="67">
        <f t="shared" si="12"/>
      </c>
      <c r="J58" s="67">
        <f t="shared" si="17"/>
        <v>83.345</v>
      </c>
      <c r="K58" s="67">
        <v>12</v>
      </c>
      <c r="L58" s="4"/>
    </row>
    <row r="59" spans="1:12" ht="12.75" hidden="1">
      <c r="A59" s="66" t="str">
        <f>HYPERLINK("http://www.2seas.com/prodFind.php?name=UNI-TP/12LL&amp;prodType=Mount","UNI-TP/12LL ")</f>
        <v>UNI-TP/12LL </v>
      </c>
      <c r="B59" s="67">
        <v>140</v>
      </c>
      <c r="C59" s="67">
        <v>100.7</v>
      </c>
      <c r="D59" s="67">
        <v>2</v>
      </c>
      <c r="E59" s="67" t="b">
        <f t="shared" si="13"/>
        <v>0</v>
      </c>
      <c r="F59" s="68">
        <f t="shared" si="14"/>
        <v>4</v>
      </c>
      <c r="G59" s="67">
        <f t="shared" si="15"/>
        <v>40.77952755905511</v>
      </c>
      <c r="H59" s="68">
        <f t="shared" si="16"/>
      </c>
      <c r="I59" s="67">
        <f t="shared" si="12"/>
      </c>
      <c r="J59" s="67">
        <f t="shared" si="17"/>
        <v>83.345</v>
      </c>
      <c r="K59" s="67">
        <v>12</v>
      </c>
      <c r="L59" s="4"/>
    </row>
    <row r="60" spans="1:12" ht="12.75" hidden="1">
      <c r="A60" s="4"/>
      <c r="B60" s="4"/>
      <c r="C60" s="4"/>
      <c r="D60" s="4"/>
      <c r="E60" s="4"/>
      <c r="F60" s="4"/>
      <c r="G60" s="4"/>
      <c r="H60" s="4"/>
      <c r="I60" s="4"/>
      <c r="J60" s="4"/>
      <c r="K60" s="4"/>
      <c r="L60" s="4"/>
    </row>
    <row r="61" spans="1:12" ht="12.75" hidden="1">
      <c r="A61" s="4"/>
      <c r="B61" s="4"/>
      <c r="C61" s="4"/>
      <c r="D61" s="4"/>
      <c r="E61" s="4"/>
      <c r="F61" s="4"/>
      <c r="G61" s="4"/>
      <c r="H61" s="4"/>
      <c r="I61" s="4"/>
      <c r="J61" s="4"/>
      <c r="K61" s="4"/>
      <c r="L61" s="4"/>
    </row>
    <row r="62" spans="1:12" ht="12.75" hidden="1">
      <c r="A62" s="63" t="s">
        <v>22</v>
      </c>
      <c r="B62" s="63" t="s">
        <v>6</v>
      </c>
      <c r="C62" s="63" t="s">
        <v>23</v>
      </c>
      <c r="D62" s="63" t="s">
        <v>24</v>
      </c>
      <c r="E62" s="63" t="s">
        <v>25</v>
      </c>
      <c r="F62" s="63" t="s">
        <v>7</v>
      </c>
      <c r="G62" s="63" t="s">
        <v>8</v>
      </c>
      <c r="H62" s="63" t="s">
        <v>11</v>
      </c>
      <c r="I62" s="63" t="s">
        <v>12</v>
      </c>
      <c r="J62" s="63" t="s">
        <v>13</v>
      </c>
      <c r="K62" s="63" t="s">
        <v>14</v>
      </c>
      <c r="L62" s="4"/>
    </row>
    <row r="63" spans="1:12" ht="12.75" hidden="1">
      <c r="A63" s="39" t="str">
        <f>HYPERLINK("http://www.tamaracksolar.com","UNI-SP/01")</f>
        <v>UNI-SP/01</v>
      </c>
      <c r="B63" s="67">
        <v>25</v>
      </c>
      <c r="C63" s="67">
        <v>18.9</v>
      </c>
      <c r="D63" s="67">
        <v>28.7</v>
      </c>
      <c r="E63" s="67" t="b">
        <f aca="true" t="shared" si="18" ref="E63:E71">IF(($D$19&gt;D63),TRUE,IF(($D$19&lt;C63),TRUE,FALSE))</f>
        <v>0</v>
      </c>
      <c r="F63" s="68">
        <f aca="true" t="shared" si="19" ref="F63:F71">IF(E63,0,INT((B63/($B$19+0.75))))</f>
        <v>0</v>
      </c>
      <c r="G63" s="67">
        <f aca="true" t="shared" si="20" ref="G63:G69">B63-(F63*($B$19+0.75))</f>
        <v>25</v>
      </c>
      <c r="H63" s="68" t="str">
        <f>IF((F63&lt;&gt;F62),IF(E63,"","Yes"),"")</f>
        <v>Yes</v>
      </c>
      <c r="I63" s="67" t="str">
        <f aca="true" t="shared" si="21" ref="I63:I70">IF((H63&lt;&gt;""),IF((($C$22*F63)&gt;J63),"No","Yes"),"")</f>
        <v>Yes</v>
      </c>
      <c r="J63" s="67">
        <f aca="true" t="shared" si="22" ref="J63:J71">$G$22*K63</f>
        <v>6.945416666666667</v>
      </c>
      <c r="K63" s="67">
        <v>1</v>
      </c>
      <c r="L63" s="4"/>
    </row>
    <row r="64" spans="1:12" ht="12.75" hidden="1">
      <c r="A64" s="69" t="str">
        <f>HYPERLINK("http://www.tamaracksolar.com","UNI-SP/01A")</f>
        <v>UNI-SP/01A</v>
      </c>
      <c r="B64" s="67">
        <v>27.5</v>
      </c>
      <c r="C64" s="67">
        <v>18.9</v>
      </c>
      <c r="D64" s="67">
        <v>28.7</v>
      </c>
      <c r="E64" s="67" t="b">
        <f t="shared" si="18"/>
        <v>0</v>
      </c>
      <c r="F64" s="68">
        <f t="shared" si="19"/>
        <v>0</v>
      </c>
      <c r="G64" s="67">
        <f t="shared" si="20"/>
        <v>27.5</v>
      </c>
      <c r="H64" s="68">
        <f aca="true" t="shared" si="23" ref="H64:H70">IF((F64&lt;&gt;F63),IF(E64,"","Yes"),"")</f>
      </c>
      <c r="I64" s="67">
        <f t="shared" si="21"/>
      </c>
      <c r="J64" s="67">
        <f t="shared" si="22"/>
        <v>6.945416666666667</v>
      </c>
      <c r="K64" s="67">
        <v>1</v>
      </c>
      <c r="L64" s="4"/>
    </row>
    <row r="65" spans="1:12" ht="12.75" hidden="1">
      <c r="A65" s="69" t="str">
        <f>HYPERLINK("http://www.tamaracksolar.com","UNI-SP/01XH")</f>
        <v>UNI-SP/01XH</v>
      </c>
      <c r="B65" s="67">
        <v>27.5</v>
      </c>
      <c r="C65" s="67">
        <v>29.2</v>
      </c>
      <c r="D65" s="67">
        <v>39</v>
      </c>
      <c r="E65" s="67" t="b">
        <f t="shared" si="18"/>
        <v>1</v>
      </c>
      <c r="F65" s="68">
        <f t="shared" si="19"/>
        <v>0</v>
      </c>
      <c r="G65" s="67">
        <f t="shared" si="20"/>
        <v>27.5</v>
      </c>
      <c r="H65" s="68">
        <f t="shared" si="23"/>
      </c>
      <c r="I65" s="67">
        <f t="shared" si="21"/>
      </c>
      <c r="J65" s="67">
        <f t="shared" si="22"/>
        <v>6.945416666666667</v>
      </c>
      <c r="K65" s="67">
        <v>1</v>
      </c>
      <c r="L65" s="4"/>
    </row>
    <row r="66" spans="1:12" ht="12.75" hidden="1">
      <c r="A66" s="69" t="str">
        <f>HYPERLINK("http://www.tamaracksolar.com","UNI-SP/01XX")</f>
        <v>UNI-SP/01XX</v>
      </c>
      <c r="B66" s="67">
        <v>30</v>
      </c>
      <c r="C66" s="67">
        <v>29.2</v>
      </c>
      <c r="D66" s="67">
        <v>39</v>
      </c>
      <c r="E66" s="67" t="b">
        <f t="shared" si="18"/>
        <v>1</v>
      </c>
      <c r="F66" s="68">
        <f t="shared" si="19"/>
        <v>0</v>
      </c>
      <c r="G66" s="67">
        <f t="shared" si="20"/>
        <v>30</v>
      </c>
      <c r="H66" s="68">
        <f>IF((F66&lt;&gt;F65),IF(E66,"","Yes"),"")</f>
      </c>
      <c r="I66" s="67">
        <f>IF((H66&lt;&gt;""),IF((($C$32*F66)&gt;J66),"No","Yes"),"")</f>
      </c>
      <c r="J66" s="67">
        <f t="shared" si="22"/>
        <v>6.945416666666667</v>
      </c>
      <c r="K66" s="67">
        <v>1</v>
      </c>
      <c r="L66" s="4"/>
    </row>
    <row r="67" spans="1:12" ht="12.75" hidden="1">
      <c r="A67" s="69" t="str">
        <f>HYPERLINK("http://www.tamaracksolar.com","UNI-SP/02")</f>
        <v>UNI-SP/02</v>
      </c>
      <c r="B67" s="67">
        <v>45</v>
      </c>
      <c r="C67" s="67">
        <v>18.9</v>
      </c>
      <c r="D67" s="67">
        <v>28.7</v>
      </c>
      <c r="E67" s="67" t="b">
        <f t="shared" si="18"/>
        <v>0</v>
      </c>
      <c r="F67" s="68">
        <f t="shared" si="19"/>
        <v>0</v>
      </c>
      <c r="G67" s="67">
        <f t="shared" si="20"/>
        <v>45</v>
      </c>
      <c r="H67" s="68">
        <f>IF((F67&lt;&gt;F66),IF(E67,"","Yes"),"")</f>
      </c>
      <c r="I67" s="67">
        <f t="shared" si="21"/>
      </c>
      <c r="J67" s="67">
        <f t="shared" si="22"/>
        <v>13.890833333333333</v>
      </c>
      <c r="K67" s="67">
        <v>2</v>
      </c>
      <c r="L67" s="4"/>
    </row>
    <row r="68" spans="1:12" ht="12.75" hidden="1">
      <c r="A68" s="69" t="str">
        <f>HYPERLINK("http://www.tamaracksolar.com","UNI-SP/02A")</f>
        <v>UNI-SP/02A</v>
      </c>
      <c r="B68" s="67">
        <v>55</v>
      </c>
      <c r="C68" s="67">
        <v>18.9</v>
      </c>
      <c r="D68" s="67">
        <v>28.7</v>
      </c>
      <c r="E68" s="67" t="b">
        <f t="shared" si="18"/>
        <v>0</v>
      </c>
      <c r="F68" s="68">
        <f t="shared" si="19"/>
        <v>0</v>
      </c>
      <c r="G68" s="67">
        <f t="shared" si="20"/>
        <v>55</v>
      </c>
      <c r="H68" s="68">
        <f t="shared" si="23"/>
      </c>
      <c r="I68" s="67">
        <f t="shared" si="21"/>
      </c>
      <c r="J68" s="67">
        <f t="shared" si="22"/>
        <v>13.890833333333333</v>
      </c>
      <c r="K68" s="67">
        <v>2</v>
      </c>
      <c r="L68" s="4"/>
    </row>
    <row r="69" spans="1:12" ht="12.75" hidden="1">
      <c r="A69" s="69" t="str">
        <f>HYPERLINK("http://www.tamaracksolar.com","UNI-SP/02X")</f>
        <v>UNI-SP/02X</v>
      </c>
      <c r="B69" s="67">
        <v>55</v>
      </c>
      <c r="C69" s="67">
        <v>29.2</v>
      </c>
      <c r="D69" s="67">
        <v>39</v>
      </c>
      <c r="E69" s="67" t="b">
        <f t="shared" si="18"/>
        <v>1</v>
      </c>
      <c r="F69" s="68">
        <f t="shared" si="19"/>
        <v>0</v>
      </c>
      <c r="G69" s="67">
        <f t="shared" si="20"/>
        <v>55</v>
      </c>
      <c r="H69" s="68">
        <f t="shared" si="23"/>
      </c>
      <c r="I69" s="67">
        <f t="shared" si="21"/>
      </c>
      <c r="J69" s="67">
        <f t="shared" si="22"/>
        <v>13.890833333333333</v>
      </c>
      <c r="K69" s="67">
        <v>2</v>
      </c>
      <c r="L69" s="4"/>
    </row>
    <row r="70" spans="1:12" ht="12.75" hidden="1">
      <c r="A70" s="69" t="str">
        <f>HYPERLINK("http://www.tamaracksolar.com","UNI-SP/03 ")</f>
        <v>UNI-SP/03 </v>
      </c>
      <c r="B70" s="67">
        <v>70</v>
      </c>
      <c r="C70" s="67">
        <v>18.9</v>
      </c>
      <c r="D70" s="67">
        <v>28.7</v>
      </c>
      <c r="E70" s="67" t="b">
        <f t="shared" si="18"/>
        <v>0</v>
      </c>
      <c r="F70" s="68">
        <f t="shared" si="19"/>
        <v>1</v>
      </c>
      <c r="G70" s="67">
        <f>B70-(F70*($B$19+1))</f>
        <v>9.944881889763778</v>
      </c>
      <c r="H70" s="68" t="str">
        <f t="shared" si="23"/>
        <v>Yes</v>
      </c>
      <c r="I70" s="67" t="str">
        <f t="shared" si="21"/>
        <v>Yes</v>
      </c>
      <c r="J70" s="67">
        <f t="shared" si="22"/>
        <v>20.83625</v>
      </c>
      <c r="K70" s="67">
        <v>3</v>
      </c>
      <c r="L70" s="4"/>
    </row>
    <row r="71" spans="1:12" ht="12.75" hidden="1">
      <c r="A71" s="39" t="str">
        <f>HYPERLINK("http://www.tamaracksolar.com","UNI-SP/03W ")</f>
        <v>UNI-SP/03W </v>
      </c>
      <c r="B71" s="67">
        <v>70</v>
      </c>
      <c r="C71" s="67">
        <v>29.2</v>
      </c>
      <c r="D71" s="67">
        <v>39</v>
      </c>
      <c r="E71" s="67" t="b">
        <f t="shared" si="18"/>
        <v>1</v>
      </c>
      <c r="F71" s="68">
        <f t="shared" si="19"/>
        <v>0</v>
      </c>
      <c r="G71" s="67">
        <f>B71-(F71*($B$19+1))</f>
        <v>70</v>
      </c>
      <c r="H71" s="68">
        <f>IF((F71&lt;&gt;F70),IF(E71,"","Yes"),"")</f>
      </c>
      <c r="I71" s="67">
        <f>IF((H71&lt;&gt;""),IF((($C$22*F71)&gt;J71),"No","Yes"),"")</f>
      </c>
      <c r="J71" s="67">
        <f t="shared" si="22"/>
        <v>20.83625</v>
      </c>
      <c r="K71" s="67">
        <v>3</v>
      </c>
      <c r="L71" s="4"/>
    </row>
    <row r="72" spans="1:12" ht="12.75" hidden="1">
      <c r="A72" s="4"/>
      <c r="B72" s="4"/>
      <c r="C72" s="4"/>
      <c r="D72" s="4"/>
      <c r="E72" s="4"/>
      <c r="F72" s="4"/>
      <c r="G72" s="4"/>
      <c r="H72" s="4"/>
      <c r="I72" s="4"/>
      <c r="J72" s="4"/>
      <c r="K72" s="4"/>
      <c r="L72" s="4"/>
    </row>
    <row r="73" spans="1:12" ht="12.75" hidden="1">
      <c r="A73" s="4"/>
      <c r="B73" s="63"/>
      <c r="C73" s="63"/>
      <c r="D73" s="63"/>
      <c r="E73" s="63"/>
      <c r="F73" s="4"/>
      <c r="G73" s="4"/>
      <c r="H73" s="4"/>
      <c r="I73" s="4"/>
      <c r="J73" s="4"/>
      <c r="K73" s="4"/>
      <c r="L73" s="4"/>
    </row>
    <row r="74" spans="1:12" ht="12.75">
      <c r="A74" s="63"/>
      <c r="B74" s="67"/>
      <c r="C74" s="67"/>
      <c r="D74" s="67"/>
      <c r="E74" s="67"/>
      <c r="F74" s="4"/>
      <c r="G74" s="4"/>
      <c r="H74" s="4"/>
      <c r="I74" s="4"/>
      <c r="J74" s="4"/>
      <c r="K74" s="4"/>
      <c r="L74" s="4"/>
    </row>
    <row r="75" spans="1:12" ht="12.75">
      <c r="A75" s="63"/>
      <c r="B75" s="67"/>
      <c r="C75" s="67"/>
      <c r="D75" s="67"/>
      <c r="E75" s="67"/>
      <c r="F75" s="4"/>
      <c r="G75" s="4"/>
      <c r="H75" s="4"/>
      <c r="I75" s="4"/>
      <c r="J75" s="4"/>
      <c r="K75" s="4"/>
      <c r="L75" s="4"/>
    </row>
    <row r="76" spans="1:12" ht="12.75">
      <c r="A76" s="4"/>
      <c r="B76" s="4"/>
      <c r="C76" s="4"/>
      <c r="D76" s="4"/>
      <c r="E76" s="4"/>
      <c r="F76" s="4"/>
      <c r="G76" s="4"/>
      <c r="H76" s="4"/>
      <c r="I76" s="4"/>
      <c r="J76" s="4"/>
      <c r="K76" s="4"/>
      <c r="L76" s="4"/>
    </row>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sheetProtection selectLockedCells="1"/>
  <mergeCells count="4">
    <mergeCell ref="C4:F7"/>
    <mergeCell ref="C9:G9"/>
    <mergeCell ref="A17:E17"/>
    <mergeCell ref="C11:F12"/>
  </mergeCells>
  <printOptions/>
  <pageMargins left="0.75" right="0.75" top="1" bottom="1" header="0.5" footer="0.5"/>
  <pageSetup fitToHeight="0" fitToWidth="0" horizontalDpi="300" verticalDpi="3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N44"/>
  <sheetViews>
    <sheetView tabSelected="1" view="pageBreakPreview" zoomScale="85" zoomScaleSheetLayoutView="85" zoomScalePageLayoutView="0" workbookViewId="0" topLeftCell="A1">
      <selection activeCell="L8" sqref="L8"/>
    </sheetView>
  </sheetViews>
  <sheetFormatPr defaultColWidth="9.140625" defaultRowHeight="12.75"/>
  <cols>
    <col min="1" max="1" width="2.7109375" style="7" bestFit="1" customWidth="1"/>
    <col min="2" max="2" width="16.8515625" style="7" customWidth="1"/>
    <col min="3" max="3" width="43.57421875" style="7" customWidth="1"/>
    <col min="4" max="4" width="11.57421875" style="7" customWidth="1"/>
    <col min="5" max="5" width="16.28125" style="19" customWidth="1"/>
    <col min="6" max="6" width="9.140625" style="19" customWidth="1"/>
    <col min="7" max="7" width="8.421875" style="19" hidden="1" customWidth="1"/>
    <col min="8" max="8" width="2.7109375" style="7" bestFit="1" customWidth="1"/>
    <col min="9" max="9" width="20.57421875" style="7" customWidth="1"/>
    <col min="10" max="10" width="7.28125" style="7" customWidth="1"/>
    <col min="11" max="11" width="10.7109375" style="7" bestFit="1" customWidth="1"/>
    <col min="12" max="12" width="13.140625" style="19" customWidth="1"/>
    <col min="13" max="13" width="8.00390625" style="7" bestFit="1" customWidth="1"/>
    <col min="14" max="14" width="8.28125" style="73" hidden="1" customWidth="1"/>
    <col min="15" max="16384" width="9.140625" style="7" customWidth="1"/>
  </cols>
  <sheetData>
    <row r="1" spans="1:13" ht="28.5" customHeight="1">
      <c r="A1" s="6"/>
      <c r="B1" s="133" t="str">
        <f>CONCATENATE("Panel Compatibility Report: ",'Data Input'!A22)</f>
        <v>Panel Compatibility Report: MODULE NAME</v>
      </c>
      <c r="C1" s="133"/>
      <c r="D1" s="134"/>
      <c r="E1" s="134"/>
      <c r="F1" s="134"/>
      <c r="G1" s="134"/>
      <c r="H1" s="134"/>
      <c r="I1" s="134"/>
      <c r="J1" s="134"/>
      <c r="K1" s="134"/>
      <c r="L1" s="134"/>
      <c r="M1" s="6"/>
    </row>
    <row r="2" spans="1:13" ht="12.75" customHeight="1" hidden="1">
      <c r="A2" s="6"/>
      <c r="B2" s="8"/>
      <c r="C2" s="8"/>
      <c r="D2" s="8"/>
      <c r="E2" s="15"/>
      <c r="F2" s="17"/>
      <c r="G2" s="17"/>
      <c r="H2" s="6"/>
      <c r="I2" s="8"/>
      <c r="J2" s="8"/>
      <c r="K2" s="8"/>
      <c r="L2" s="15"/>
      <c r="M2" s="6"/>
    </row>
    <row r="3" spans="1:14" ht="12.75" customHeight="1">
      <c r="A3" s="9"/>
      <c r="B3" s="1"/>
      <c r="C3" s="1"/>
      <c r="D3" s="142" t="s">
        <v>78</v>
      </c>
      <c r="E3" s="140" t="s">
        <v>77</v>
      </c>
      <c r="F3" s="44"/>
      <c r="G3" s="144" t="s">
        <v>79</v>
      </c>
      <c r="H3" s="45"/>
      <c r="I3" s="1"/>
      <c r="J3" s="1"/>
      <c r="K3" s="142" t="s">
        <v>78</v>
      </c>
      <c r="L3" s="140" t="s">
        <v>77</v>
      </c>
      <c r="M3" s="44"/>
      <c r="N3" s="144" t="s">
        <v>79</v>
      </c>
    </row>
    <row r="4" spans="1:14" ht="27" customHeight="1">
      <c r="A4" s="9"/>
      <c r="B4" s="2"/>
      <c r="C4" s="2"/>
      <c r="D4" s="143"/>
      <c r="E4" s="141"/>
      <c r="F4" s="16" t="s">
        <v>80</v>
      </c>
      <c r="G4" s="145"/>
      <c r="H4" s="10"/>
      <c r="I4" s="2"/>
      <c r="J4" s="2"/>
      <c r="K4" s="143"/>
      <c r="L4" s="141"/>
      <c r="M4" s="16" t="s">
        <v>81</v>
      </c>
      <c r="N4" s="145"/>
    </row>
    <row r="5" spans="1:14" ht="42" customHeight="1">
      <c r="A5" s="9"/>
      <c r="B5" s="3" t="s">
        <v>27</v>
      </c>
      <c r="C5" s="3"/>
      <c r="D5" s="3" t="s">
        <v>28</v>
      </c>
      <c r="E5" s="13"/>
      <c r="F5" s="47" t="s">
        <v>60</v>
      </c>
      <c r="G5" s="146"/>
      <c r="H5" s="46"/>
      <c r="I5" s="3" t="s">
        <v>27</v>
      </c>
      <c r="J5" s="3"/>
      <c r="K5" s="3" t="s">
        <v>28</v>
      </c>
      <c r="L5" s="14"/>
      <c r="M5" s="47" t="s">
        <v>60</v>
      </c>
      <c r="N5" s="146"/>
    </row>
    <row r="6" spans="1:13" ht="12.75" customHeight="1">
      <c r="A6" s="6"/>
      <c r="B6" s="135" t="s">
        <v>76</v>
      </c>
      <c r="C6" s="135"/>
      <c r="D6" s="135"/>
      <c r="E6" s="135"/>
      <c r="F6" s="40"/>
      <c r="G6" s="76"/>
      <c r="H6" s="6"/>
      <c r="I6" s="135" t="s">
        <v>29</v>
      </c>
      <c r="J6" s="135"/>
      <c r="K6" s="135"/>
      <c r="L6" s="135"/>
      <c r="M6" s="6"/>
    </row>
    <row r="7" spans="1:14" s="26" customFormat="1" ht="12.75" customHeight="1">
      <c r="A7" s="20" t="s">
        <v>30</v>
      </c>
      <c r="B7" s="27" t="s">
        <v>68</v>
      </c>
      <c r="C7" s="27" t="s">
        <v>88</v>
      </c>
      <c r="D7" s="56">
        <v>27.5</v>
      </c>
      <c r="E7" s="42" t="str">
        <f>IF(('Data Input'!H64="Yes"),'Data Input'!F64,"-")</f>
        <v>-</v>
      </c>
      <c r="F7" s="51">
        <f>'Data Input'!I64</f>
      </c>
      <c r="G7" s="77">
        <f>'Data Input'!G63</f>
        <v>25</v>
      </c>
      <c r="H7" s="48" t="s">
        <v>31</v>
      </c>
      <c r="I7" s="21" t="s">
        <v>69</v>
      </c>
      <c r="J7" s="22"/>
      <c r="K7" s="23">
        <v>70</v>
      </c>
      <c r="L7" s="24">
        <f>IF(('Data Input'!G28="Yes"),'Data Input'!C28,"-")</f>
        <v>1</v>
      </c>
      <c r="M7" s="49" t="str">
        <f>'Data Input'!H28</f>
        <v>Yes</v>
      </c>
      <c r="N7" s="74">
        <f>'Data Input'!D28</f>
        <v>10.194881889763778</v>
      </c>
    </row>
    <row r="8" spans="1:14" s="26" customFormat="1" ht="12.75" customHeight="1">
      <c r="A8" s="20" t="s">
        <v>32</v>
      </c>
      <c r="B8" s="102" t="s">
        <v>89</v>
      </c>
      <c r="C8" s="103" t="s">
        <v>91</v>
      </c>
      <c r="D8" s="81">
        <v>27.5</v>
      </c>
      <c r="E8" s="41" t="str">
        <f>IF(('Data Input'!H65="Yes"),'Data Input'!F65,"-")</f>
        <v>-</v>
      </c>
      <c r="F8" s="50">
        <f>'Data Input'!I65</f>
      </c>
      <c r="G8" s="77">
        <f>'Data Input'!G64</f>
        <v>27.5</v>
      </c>
      <c r="H8" s="25" t="s">
        <v>33</v>
      </c>
      <c r="I8" s="27" t="s">
        <v>70</v>
      </c>
      <c r="J8" s="28"/>
      <c r="K8" s="29">
        <v>90</v>
      </c>
      <c r="L8" s="30" t="str">
        <f>IF(('Data Input'!G29="Yes"),'Data Input'!C29,"-")</f>
        <v>-</v>
      </c>
      <c r="M8" s="58">
        <f>'Data Input'!H29</f>
      </c>
      <c r="N8" s="85">
        <f>'Data Input'!D29</f>
        <v>30.194881889763778</v>
      </c>
    </row>
    <row r="9" spans="1:14" s="26" customFormat="1" ht="15" customHeight="1">
      <c r="A9" s="20" t="s">
        <v>34</v>
      </c>
      <c r="B9" s="96" t="s">
        <v>67</v>
      </c>
      <c r="C9" s="96" t="s">
        <v>90</v>
      </c>
      <c r="D9" s="56">
        <v>30</v>
      </c>
      <c r="E9" s="42" t="str">
        <f>IF(('Data Input'!H66="Yes"),'Data Input'!F66,"-")</f>
        <v>-</v>
      </c>
      <c r="F9" s="51">
        <f>'Data Input'!I66</f>
      </c>
      <c r="G9" s="77">
        <f>'Data Input'!G65</f>
        <v>27.5</v>
      </c>
      <c r="H9" s="25" t="s">
        <v>35</v>
      </c>
      <c r="I9" s="21" t="s">
        <v>71</v>
      </c>
      <c r="J9" s="22"/>
      <c r="K9" s="23">
        <v>110</v>
      </c>
      <c r="L9" s="24" t="str">
        <f>IF(('Data Input'!G30="Yes"),'Data Input'!C30,"-")</f>
        <v>-</v>
      </c>
      <c r="M9" s="49">
        <f>'Data Input'!H30</f>
      </c>
      <c r="N9" s="74">
        <f>'Data Input'!D30</f>
        <v>50.19488188976378</v>
      </c>
    </row>
    <row r="10" spans="1:14" s="26" customFormat="1" ht="15">
      <c r="A10" s="20" t="s">
        <v>36</v>
      </c>
      <c r="B10" s="21" t="s">
        <v>66</v>
      </c>
      <c r="C10" s="21" t="s">
        <v>88</v>
      </c>
      <c r="D10" s="55">
        <v>45</v>
      </c>
      <c r="E10" s="41" t="str">
        <f>IF(('Data Input'!H67="Yes"),'Data Input'!F67,"-")</f>
        <v>-</v>
      </c>
      <c r="F10" s="50">
        <f>'Data Input'!I67</f>
      </c>
      <c r="G10" s="77">
        <f>'Data Input'!G66</f>
        <v>30</v>
      </c>
      <c r="H10" s="25" t="s">
        <v>37</v>
      </c>
      <c r="I10" s="89" t="s">
        <v>72</v>
      </c>
      <c r="J10" s="90"/>
      <c r="K10" s="91">
        <v>115</v>
      </c>
      <c r="L10" s="92" t="str">
        <f>IF(('Data Input'!G31="Yes"),'Data Input'!C31,"-")</f>
        <v>-</v>
      </c>
      <c r="M10" s="93">
        <f>'Data Input'!H31</f>
      </c>
      <c r="N10" s="94">
        <f>'Data Input'!D31</f>
        <v>55.19488188976378</v>
      </c>
    </row>
    <row r="11" spans="1:14" s="26" customFormat="1" ht="12.75" customHeight="1">
      <c r="A11" s="31"/>
      <c r="B11" s="27" t="s">
        <v>65</v>
      </c>
      <c r="C11" s="104" t="s">
        <v>88</v>
      </c>
      <c r="D11" s="56">
        <v>55</v>
      </c>
      <c r="E11" s="42" t="str">
        <f>IF(('Data Input'!H68="Yes"),'Data Input'!F68,"-")</f>
        <v>-</v>
      </c>
      <c r="F11" s="51">
        <f>'Data Input'!I68</f>
      </c>
      <c r="G11" s="77">
        <f>'Data Input'!G67</f>
        <v>45</v>
      </c>
      <c r="H11" s="86" t="s">
        <v>38</v>
      </c>
      <c r="I11" s="105" t="s">
        <v>94</v>
      </c>
      <c r="J11" s="158" t="s">
        <v>93</v>
      </c>
      <c r="K11" s="159"/>
      <c r="L11" s="159"/>
      <c r="M11" s="160"/>
      <c r="N11" s="95"/>
    </row>
    <row r="12" spans="1:14" s="26" customFormat="1" ht="12.75" customHeight="1">
      <c r="A12" s="31"/>
      <c r="B12" s="21" t="s">
        <v>64</v>
      </c>
      <c r="C12" s="21" t="s">
        <v>90</v>
      </c>
      <c r="D12" s="55">
        <v>55</v>
      </c>
      <c r="E12" s="41" t="str">
        <f>IF(('Data Input'!H69="Yes"),'Data Input'!F69,"-")</f>
        <v>-</v>
      </c>
      <c r="F12" s="50">
        <f>'Data Input'!I69</f>
      </c>
      <c r="G12" s="77">
        <f>'Data Input'!G68</f>
        <v>55</v>
      </c>
      <c r="H12" s="86" t="s">
        <v>34</v>
      </c>
      <c r="I12" s="95"/>
      <c r="J12" s="95"/>
      <c r="K12" s="95"/>
      <c r="L12" s="95"/>
      <c r="M12" s="95"/>
      <c r="N12" s="95"/>
    </row>
    <row r="13" spans="1:14" s="26" customFormat="1" ht="12.75" customHeight="1">
      <c r="A13" s="31"/>
      <c r="B13" s="27" t="s">
        <v>63</v>
      </c>
      <c r="C13" s="104" t="s">
        <v>88</v>
      </c>
      <c r="D13" s="56">
        <v>70</v>
      </c>
      <c r="E13" s="43">
        <f>IF(('Data Input'!H70="Yes"),'Data Input'!F70,"-")</f>
        <v>1</v>
      </c>
      <c r="F13" s="51" t="str">
        <f>'Data Input'!I70</f>
        <v>Yes</v>
      </c>
      <c r="G13" s="77">
        <f>'Data Input'!G69</f>
        <v>55</v>
      </c>
      <c r="H13" s="87"/>
      <c r="N13" s="114"/>
    </row>
    <row r="14" spans="1:14" s="26" customFormat="1" ht="12.75" customHeight="1">
      <c r="A14" s="31"/>
      <c r="B14" s="27" t="s">
        <v>39</v>
      </c>
      <c r="C14" s="27"/>
      <c r="D14" s="56">
        <v>70</v>
      </c>
      <c r="E14" s="43" t="str">
        <f>IF(('Data Input'!H71="Yes"),'Data Input'!F71,"-")</f>
        <v>-</v>
      </c>
      <c r="F14" s="51">
        <f>'Data Input'!I71</f>
      </c>
      <c r="G14" s="78">
        <f>'Data Input'!G70</f>
        <v>9.944881889763778</v>
      </c>
      <c r="H14" s="88"/>
      <c r="N14" s="114"/>
    </row>
    <row r="15" spans="1:14" s="26" customFormat="1" ht="12.75" customHeight="1" hidden="1">
      <c r="A15" s="11"/>
      <c r="B15" s="82" t="s">
        <v>73</v>
      </c>
      <c r="C15" s="21" t="s">
        <v>90</v>
      </c>
      <c r="D15" s="81">
        <v>70</v>
      </c>
      <c r="E15" s="83" t="str">
        <f>IF(('Data Input'!H71="Yes"),'Data Input'!F71,"-")</f>
        <v>-</v>
      </c>
      <c r="F15" s="84">
        <f>'Data Input'!I71</f>
      </c>
      <c r="G15" s="78">
        <f>'Data Input'!G71</f>
        <v>70</v>
      </c>
      <c r="H15" s="88"/>
      <c r="I15" s="118"/>
      <c r="J15" s="136"/>
      <c r="K15" s="136"/>
      <c r="L15" s="119"/>
      <c r="M15" s="120"/>
      <c r="N15" s="115">
        <f>'Data Input'!D32</f>
        <v>0</v>
      </c>
    </row>
    <row r="16" spans="1:14" s="26" customFormat="1" ht="12.75" customHeight="1">
      <c r="A16" s="11"/>
      <c r="B16" s="137" t="s">
        <v>74</v>
      </c>
      <c r="C16" s="138"/>
      <c r="D16" s="138"/>
      <c r="E16" s="139"/>
      <c r="F16" s="52"/>
      <c r="G16" s="78">
        <f>'Data Input'!G71</f>
        <v>70</v>
      </c>
      <c r="H16" s="88"/>
      <c r="I16" s="121"/>
      <c r="J16" s="122"/>
      <c r="K16" s="123"/>
      <c r="L16" s="124"/>
      <c r="M16" s="123"/>
      <c r="N16" s="116">
        <f>'Data Input'!D33</f>
        <v>0</v>
      </c>
    </row>
    <row r="17" spans="1:14" s="26" customFormat="1" ht="12.75" customHeight="1">
      <c r="A17" s="20" t="s">
        <v>40</v>
      </c>
      <c r="B17" s="21"/>
      <c r="C17" s="21"/>
      <c r="D17" s="23"/>
      <c r="E17" s="41"/>
      <c r="F17" s="50"/>
      <c r="G17" s="79"/>
      <c r="H17" s="88"/>
      <c r="I17" s="121"/>
      <c r="J17" s="122"/>
      <c r="K17" s="123"/>
      <c r="L17" s="124"/>
      <c r="M17" s="123"/>
      <c r="N17" s="116">
        <f>'Data Input'!D34</f>
        <v>30.194881889763778</v>
      </c>
    </row>
    <row r="18" spans="1:14" s="26" customFormat="1" ht="12.75" customHeight="1">
      <c r="A18" s="20" t="s">
        <v>35</v>
      </c>
      <c r="B18" s="27" t="s">
        <v>41</v>
      </c>
      <c r="C18" s="27"/>
      <c r="D18" s="56">
        <v>45</v>
      </c>
      <c r="E18" s="42">
        <f>IF(('Data Input'!H45="Yes"),'Data Input'!F45,"-")</f>
        <v>0</v>
      </c>
      <c r="F18" s="51" t="str">
        <f>'Data Input'!I45</f>
        <v>Yes</v>
      </c>
      <c r="G18" s="80"/>
      <c r="H18" s="88"/>
      <c r="I18" s="121"/>
      <c r="J18" s="122"/>
      <c r="K18" s="123"/>
      <c r="L18" s="124"/>
      <c r="M18" s="123"/>
      <c r="N18" s="116">
        <f>'Data Input'!D35</f>
        <v>50.19488188976378</v>
      </c>
    </row>
    <row r="19" spans="1:14" s="26" customFormat="1" ht="12.75" customHeight="1">
      <c r="A19" s="20" t="s">
        <v>42</v>
      </c>
      <c r="B19" s="21" t="s">
        <v>43</v>
      </c>
      <c r="C19" s="21"/>
      <c r="D19" s="55">
        <v>55</v>
      </c>
      <c r="E19" s="41" t="str">
        <f>IF(('Data Input'!H46="Yes"),'Data Input'!F46,"-")</f>
        <v>-</v>
      </c>
      <c r="F19" s="50">
        <f>'Data Input'!I46</f>
      </c>
      <c r="G19" s="78">
        <f>'Data Input'!G45</f>
        <v>45</v>
      </c>
      <c r="H19" s="88"/>
      <c r="I19" s="121"/>
      <c r="J19" s="122"/>
      <c r="K19" s="123"/>
      <c r="L19" s="124"/>
      <c r="M19" s="123"/>
      <c r="N19" s="116">
        <f>'Data Input'!D36</f>
        <v>20.389763779527556</v>
      </c>
    </row>
    <row r="20" spans="1:14" s="26" customFormat="1" ht="12.75" customHeight="1">
      <c r="A20" s="20"/>
      <c r="B20" s="27" t="s">
        <v>44</v>
      </c>
      <c r="C20" s="27"/>
      <c r="D20" s="56">
        <v>70</v>
      </c>
      <c r="E20" s="42">
        <f>IF(('Data Input'!H47="Yes"),'Data Input'!F47,"-")</f>
        <v>1</v>
      </c>
      <c r="F20" s="51" t="str">
        <f>'Data Input'!I47</f>
        <v>Yes</v>
      </c>
      <c r="G20" s="78">
        <f>'Data Input'!G46</f>
        <v>55</v>
      </c>
      <c r="H20" s="88"/>
      <c r="I20" s="121"/>
      <c r="J20" s="122"/>
      <c r="K20" s="123"/>
      <c r="L20" s="124"/>
      <c r="M20" s="123"/>
      <c r="N20" s="116">
        <f>'Data Input'!D37</f>
        <v>40.389763779527556</v>
      </c>
    </row>
    <row r="21" spans="1:14" s="26" customFormat="1" ht="12.75" customHeight="1">
      <c r="A21" s="20"/>
      <c r="B21" s="21" t="s">
        <v>45</v>
      </c>
      <c r="C21" s="21"/>
      <c r="D21" s="55">
        <v>90</v>
      </c>
      <c r="E21" s="41" t="str">
        <f>IF(('Data Input'!H48="Yes"),'Data Input'!F48,"-")</f>
        <v>-</v>
      </c>
      <c r="F21" s="50">
        <f>'Data Input'!I48</f>
      </c>
      <c r="G21" s="78">
        <f>'Data Input'!G47</f>
        <v>10.194881889763778</v>
      </c>
      <c r="H21" s="88"/>
      <c r="I21" s="121"/>
      <c r="J21" s="122"/>
      <c r="K21" s="123"/>
      <c r="L21" s="124"/>
      <c r="M21" s="123"/>
      <c r="N21" s="116">
        <f>'Data Input'!D38</f>
        <v>0.5846456692913193</v>
      </c>
    </row>
    <row r="22" spans="1:14" s="26" customFormat="1" ht="12.75" customHeight="1">
      <c r="A22" s="20"/>
      <c r="B22" s="27" t="s">
        <v>46</v>
      </c>
      <c r="C22" s="27"/>
      <c r="D22" s="56">
        <v>110</v>
      </c>
      <c r="E22" s="42" t="str">
        <f>IF(('Data Input'!H49="Yes"),'Data Input'!F49,"-")</f>
        <v>-</v>
      </c>
      <c r="F22" s="51">
        <f>'Data Input'!I49</f>
      </c>
      <c r="G22" s="78">
        <f>'Data Input'!G48</f>
        <v>30.194881889763778</v>
      </c>
      <c r="H22" s="88"/>
      <c r="I22" s="121"/>
      <c r="J22" s="122"/>
      <c r="K22" s="123"/>
      <c r="L22" s="124"/>
      <c r="M22" s="123"/>
      <c r="N22" s="116">
        <f>'Data Input'!D39</f>
        <v>45.58464566929132</v>
      </c>
    </row>
    <row r="23" spans="1:14" s="26" customFormat="1" ht="12.75" customHeight="1">
      <c r="A23" s="33"/>
      <c r="B23" s="155" t="s">
        <v>75</v>
      </c>
      <c r="C23" s="156"/>
      <c r="D23" s="156"/>
      <c r="E23" s="157"/>
      <c r="F23" s="52"/>
      <c r="G23" s="78">
        <f>'Data Input'!G49</f>
        <v>50.19488188976378</v>
      </c>
      <c r="H23" s="88"/>
      <c r="I23" s="121"/>
      <c r="J23" s="122"/>
      <c r="K23" s="123"/>
      <c r="L23" s="124"/>
      <c r="M23" s="123"/>
      <c r="N23" s="116">
        <f>'Data Input'!D40</f>
        <v>30.77952755905511</v>
      </c>
    </row>
    <row r="24" spans="1:14" s="26" customFormat="1" ht="12.75" customHeight="1">
      <c r="A24" s="20" t="s">
        <v>40</v>
      </c>
      <c r="B24" s="21"/>
      <c r="C24" s="21"/>
      <c r="D24" s="55"/>
      <c r="E24" s="41"/>
      <c r="F24" s="50"/>
      <c r="G24" s="79"/>
      <c r="H24" s="57"/>
      <c r="I24" s="11"/>
      <c r="J24" s="11"/>
      <c r="K24" s="11"/>
      <c r="L24" s="117"/>
      <c r="M24" s="11"/>
      <c r="N24" s="75"/>
    </row>
    <row r="25" spans="1:14" s="26" customFormat="1" ht="12.75" customHeight="1">
      <c r="A25" s="20" t="s">
        <v>35</v>
      </c>
      <c r="B25" s="27" t="s">
        <v>47</v>
      </c>
      <c r="C25" s="27"/>
      <c r="D25" s="56">
        <v>70</v>
      </c>
      <c r="E25" s="42">
        <f>IF(('Data Input'!H53="Yes"),'Data Input'!F53,"-")</f>
        <v>2</v>
      </c>
      <c r="F25" s="51" t="str">
        <f>'Data Input'!I53</f>
        <v>Yes</v>
      </c>
      <c r="G25" s="78"/>
      <c r="H25" s="57"/>
      <c r="I25" s="54" t="s">
        <v>48</v>
      </c>
      <c r="J25" s="148"/>
      <c r="K25" s="148"/>
      <c r="L25" s="148"/>
      <c r="M25" s="11"/>
      <c r="N25" s="75"/>
    </row>
    <row r="26" spans="1:14" s="26" customFormat="1" ht="12.75" customHeight="1">
      <c r="A26" s="20" t="s">
        <v>42</v>
      </c>
      <c r="B26" s="21" t="s">
        <v>49</v>
      </c>
      <c r="C26" s="21"/>
      <c r="D26" s="55">
        <v>90</v>
      </c>
      <c r="E26" s="41" t="str">
        <f>IF(('Data Input'!H54="Yes"),'Data Input'!F54,"-")</f>
        <v>-</v>
      </c>
      <c r="F26" s="50">
        <f>'Data Input'!I54</f>
      </c>
      <c r="G26" s="78">
        <f>'Data Input'!G53</f>
        <v>20.389763779527556</v>
      </c>
      <c r="H26" s="32"/>
      <c r="I26" s="53" t="s">
        <v>0</v>
      </c>
      <c r="J26" s="70">
        <f>'Data Input'!$B$19</f>
        <v>59.05511811023622</v>
      </c>
      <c r="K26" s="149" t="s">
        <v>50</v>
      </c>
      <c r="L26" s="149"/>
      <c r="M26" s="11"/>
      <c r="N26" s="75"/>
    </row>
    <row r="27" spans="1:14" s="26" customFormat="1" ht="12.75" customHeight="1">
      <c r="A27" s="147">
        <v>2</v>
      </c>
      <c r="B27" s="27" t="s">
        <v>51</v>
      </c>
      <c r="C27" s="27"/>
      <c r="D27" s="56">
        <v>90</v>
      </c>
      <c r="E27" s="42" t="str">
        <f>IF(('Data Input'!H55="Yes"),'Data Input'!F55,"-")</f>
        <v>-</v>
      </c>
      <c r="F27" s="51">
        <f>'Data Input'!I55</f>
      </c>
      <c r="G27" s="78">
        <f>'Data Input'!G54</f>
        <v>60.389763779527556</v>
      </c>
      <c r="H27" s="32"/>
      <c r="I27" s="34" t="s">
        <v>1</v>
      </c>
      <c r="J27" s="71">
        <f>'Data Input'!$C$19</f>
        <v>26.5748031496063</v>
      </c>
      <c r="K27" s="150" t="s">
        <v>50</v>
      </c>
      <c r="L27" s="150"/>
      <c r="M27" s="11"/>
      <c r="N27" s="75"/>
    </row>
    <row r="28" spans="1:14" s="26" customFormat="1" ht="12.75" customHeight="1">
      <c r="A28" s="147"/>
      <c r="B28" s="27" t="s">
        <v>52</v>
      </c>
      <c r="C28" s="27"/>
      <c r="D28" s="56">
        <v>125</v>
      </c>
      <c r="E28" s="42">
        <f>IF(('Data Input'!H57="Yes"),'Data Input'!F57,"-")</f>
        <v>4</v>
      </c>
      <c r="F28" s="51" t="str">
        <f>'Data Input'!I57</f>
        <v>Yes</v>
      </c>
      <c r="G28" s="78">
        <f>'Data Input'!G55</f>
        <v>60.389763779527556</v>
      </c>
      <c r="H28" s="32"/>
      <c r="I28" s="111" t="s">
        <v>61</v>
      </c>
      <c r="J28" s="72">
        <f>'Data Input'!$D$19</f>
        <v>24.606299212598426</v>
      </c>
      <c r="K28" s="151" t="s">
        <v>50</v>
      </c>
      <c r="L28" s="151"/>
      <c r="M28" s="11"/>
      <c r="N28" s="75"/>
    </row>
    <row r="29" spans="1:14" s="26" customFormat="1" ht="12.75" customHeight="1">
      <c r="A29" s="20" t="s">
        <v>40</v>
      </c>
      <c r="C29" s="109"/>
      <c r="D29" s="109"/>
      <c r="E29" s="109"/>
      <c r="F29" s="109"/>
      <c r="G29" s="78">
        <f>'Data Input'!G56</f>
        <v>110.38976377952756</v>
      </c>
      <c r="H29" s="88"/>
      <c r="I29" s="112" t="s">
        <v>62</v>
      </c>
      <c r="J29" s="113">
        <f>'Data Input'!$E$19</f>
        <v>0.984251968503937</v>
      </c>
      <c r="K29" s="150" t="s">
        <v>50</v>
      </c>
      <c r="L29" s="150"/>
      <c r="M29" s="11"/>
      <c r="N29" s="75"/>
    </row>
    <row r="30" spans="1:14" s="26" customFormat="1" ht="12.75" customHeight="1">
      <c r="A30" s="20" t="s">
        <v>32</v>
      </c>
      <c r="B30" s="161" t="s">
        <v>96</v>
      </c>
      <c r="C30" s="162"/>
      <c r="D30" s="162"/>
      <c r="E30" s="162"/>
      <c r="F30" s="163"/>
      <c r="G30" s="110">
        <f>'Data Input'!G57</f>
        <v>10.779527559055111</v>
      </c>
      <c r="H30" s="88"/>
      <c r="I30" s="88"/>
      <c r="J30" s="88"/>
      <c r="K30" s="154"/>
      <c r="L30" s="154"/>
      <c r="M30" s="11"/>
      <c r="N30" s="75"/>
    </row>
    <row r="31" spans="1:14" s="26" customFormat="1" ht="12.75" customHeight="1">
      <c r="A31" s="20" t="s">
        <v>36</v>
      </c>
      <c r="B31" s="161"/>
      <c r="C31" s="162"/>
      <c r="D31" s="162"/>
      <c r="E31" s="162"/>
      <c r="F31" s="163"/>
      <c r="G31" s="110">
        <f>'Data Input'!G58</f>
        <v>40.77952755905511</v>
      </c>
      <c r="H31" s="88"/>
      <c r="I31" s="106"/>
      <c r="J31" s="38"/>
      <c r="K31" s="38"/>
      <c r="L31" s="17"/>
      <c r="M31" s="11"/>
      <c r="N31" s="75"/>
    </row>
    <row r="32" spans="1:13" ht="12.75" customHeight="1">
      <c r="A32" s="20" t="s">
        <v>33</v>
      </c>
      <c r="C32" s="97"/>
      <c r="D32" s="97"/>
      <c r="E32" s="97"/>
      <c r="F32" s="97"/>
      <c r="G32" s="109"/>
      <c r="H32" s="109"/>
      <c r="I32" s="109"/>
      <c r="J32" s="109"/>
      <c r="K32" s="109"/>
      <c r="L32" s="109"/>
      <c r="M32" s="109"/>
    </row>
    <row r="33" spans="1:13" ht="14.25">
      <c r="A33" s="6"/>
      <c r="B33" s="152" t="s">
        <v>53</v>
      </c>
      <c r="C33" s="153"/>
      <c r="D33" s="153"/>
      <c r="E33" s="153"/>
      <c r="F33" s="153"/>
      <c r="G33" s="153"/>
      <c r="H33" s="153"/>
      <c r="I33" s="153"/>
      <c r="J33" s="153"/>
      <c r="K33" s="153"/>
      <c r="L33" s="153"/>
      <c r="M33" s="6"/>
    </row>
    <row r="34" spans="1:13" ht="12.75" customHeight="1">
      <c r="A34" s="6"/>
      <c r="B34" s="97"/>
      <c r="C34" s="97"/>
      <c r="D34" s="97"/>
      <c r="E34" s="97"/>
      <c r="F34" s="97"/>
      <c r="G34" s="107"/>
      <c r="H34" s="107"/>
      <c r="I34" s="107"/>
      <c r="J34" s="107"/>
      <c r="K34" s="107"/>
      <c r="L34" s="107"/>
      <c r="M34" s="6"/>
    </row>
    <row r="35" spans="1:13" ht="12.75" customHeight="1">
      <c r="A35" s="6"/>
      <c r="B35" s="97"/>
      <c r="C35" s="97"/>
      <c r="D35" s="97"/>
      <c r="E35" s="97"/>
      <c r="F35" s="97"/>
      <c r="G35" s="107"/>
      <c r="H35" s="107"/>
      <c r="I35" s="107"/>
      <c r="J35" s="107"/>
      <c r="K35" s="107"/>
      <c r="L35" s="107"/>
      <c r="M35" s="6"/>
    </row>
    <row r="36" spans="1:13" ht="12" customHeight="1">
      <c r="A36" s="6"/>
      <c r="B36" s="6"/>
      <c r="C36" s="98"/>
      <c r="D36" s="6"/>
      <c r="E36" s="17"/>
      <c r="F36" s="17"/>
      <c r="G36" s="97"/>
      <c r="H36" s="97"/>
      <c r="I36" s="97"/>
      <c r="J36" s="97"/>
      <c r="K36" s="97"/>
      <c r="L36" s="17"/>
      <c r="M36" s="6"/>
    </row>
    <row r="37" spans="1:13" ht="12" customHeight="1" hidden="1">
      <c r="A37" s="6"/>
      <c r="B37" s="6"/>
      <c r="C37" s="98"/>
      <c r="D37" s="6"/>
      <c r="E37" s="17"/>
      <c r="F37" s="17"/>
      <c r="G37" s="97"/>
      <c r="H37" s="97"/>
      <c r="I37" s="97"/>
      <c r="J37" s="97"/>
      <c r="K37" s="97"/>
      <c r="L37" s="17"/>
      <c r="M37" s="6"/>
    </row>
    <row r="38" spans="1:13" ht="12" customHeight="1" hidden="1">
      <c r="A38" s="6"/>
      <c r="B38" s="6"/>
      <c r="C38" s="98"/>
      <c r="D38" s="6"/>
      <c r="E38" s="17"/>
      <c r="F38" s="17"/>
      <c r="G38" s="97"/>
      <c r="H38" s="97"/>
      <c r="I38" s="97"/>
      <c r="J38" s="97"/>
      <c r="K38" s="97"/>
      <c r="L38" s="17"/>
      <c r="M38" s="6"/>
    </row>
    <row r="39" spans="1:13" ht="12" customHeight="1" hidden="1">
      <c r="A39" s="6"/>
      <c r="B39" s="12"/>
      <c r="C39" s="12"/>
      <c r="D39" s="12"/>
      <c r="E39" s="18"/>
      <c r="F39" s="18"/>
      <c r="G39" s="97"/>
      <c r="H39" s="97"/>
      <c r="I39" s="6"/>
      <c r="J39" s="6"/>
      <c r="K39" s="6"/>
      <c r="L39" s="17"/>
      <c r="M39" s="6"/>
    </row>
    <row r="40" spans="1:13" ht="12.75" customHeight="1" hidden="1">
      <c r="A40" s="6"/>
      <c r="B40" s="6"/>
      <c r="C40" s="98"/>
      <c r="D40" s="6"/>
      <c r="E40" s="17"/>
      <c r="F40" s="17"/>
      <c r="G40" s="17"/>
      <c r="H40" s="6"/>
      <c r="I40" s="6"/>
      <c r="J40" s="6"/>
      <c r="K40" s="6"/>
      <c r="L40" s="17"/>
      <c r="M40" s="6"/>
    </row>
    <row r="41" spans="1:13" ht="12.75" customHeight="1" hidden="1">
      <c r="A41" s="6"/>
      <c r="G41" s="17"/>
      <c r="H41" s="6"/>
      <c r="I41" s="12"/>
      <c r="J41" s="12"/>
      <c r="K41" s="12"/>
      <c r="L41" s="18"/>
      <c r="M41" s="6"/>
    </row>
    <row r="42" spans="1:13" ht="12.75" customHeight="1" hidden="1">
      <c r="A42" s="6"/>
      <c r="G42" s="17"/>
      <c r="H42" s="12"/>
      <c r="I42" s="6"/>
      <c r="J42" s="6"/>
      <c r="K42" s="6"/>
      <c r="L42" s="17"/>
      <c r="M42" s="6"/>
    </row>
    <row r="43" spans="1:13" ht="12.75" customHeight="1">
      <c r="A43" s="6"/>
      <c r="G43" s="18"/>
      <c r="H43" s="6"/>
      <c r="M43" s="6"/>
    </row>
    <row r="44" ht="15">
      <c r="G44" s="17"/>
    </row>
  </sheetData>
  <sheetProtection password="CCF7" sheet="1" objects="1" scenarios="1" selectLockedCells="1" selectUnlockedCells="1"/>
  <mergeCells count="22">
    <mergeCell ref="B33:L33"/>
    <mergeCell ref="K29:L29"/>
    <mergeCell ref="K30:L30"/>
    <mergeCell ref="B23:E23"/>
    <mergeCell ref="J11:M11"/>
    <mergeCell ref="B30:F31"/>
    <mergeCell ref="N3:N5"/>
    <mergeCell ref="A27:A28"/>
    <mergeCell ref="J25:L25"/>
    <mergeCell ref="K26:L26"/>
    <mergeCell ref="K27:L27"/>
    <mergeCell ref="K28:L28"/>
    <mergeCell ref="B1:L1"/>
    <mergeCell ref="B6:E6"/>
    <mergeCell ref="I6:L6"/>
    <mergeCell ref="J15:K15"/>
    <mergeCell ref="B16:E16"/>
    <mergeCell ref="E3:E4"/>
    <mergeCell ref="D3:D4"/>
    <mergeCell ref="K3:K4"/>
    <mergeCell ref="L3:L4"/>
    <mergeCell ref="G3:G5"/>
  </mergeCells>
  <printOptions/>
  <pageMargins left="0.75" right="0.75" top="1" bottom="1" header="0.5" footer="0.5"/>
  <pageSetup fitToHeight="0" fitToWidth="0"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Tamarack Solar VP</dc:creator>
  <cp:keywords/>
  <dc:description/>
  <cp:lastModifiedBy>Andrea Belford</cp:lastModifiedBy>
  <cp:lastPrinted>2016-03-04T19:12:59Z</cp:lastPrinted>
  <dcterms:created xsi:type="dcterms:W3CDTF">2016-01-08T02:48:00Z</dcterms:created>
  <dcterms:modified xsi:type="dcterms:W3CDTF">2017-11-09T22:37:48Z</dcterms:modified>
  <cp:category/>
  <cp:version/>
  <cp:contentType/>
  <cp:contentStatus/>
</cp:coreProperties>
</file>